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\\entdoc0015\DivisionFiles2\hous\BOH\BOHSHARE\MultiFamily\01.01_Operations\Data_Bases\"/>
    </mc:Choice>
  </mc:AlternateContent>
  <xr:revisionPtr revIDLastSave="0" documentId="8_{B365CA39-6178-4E1D-9911-38EB95B3BBAF}" xr6:coauthVersionLast="47" xr6:coauthVersionMax="47" xr10:uidLastSave="{00000000-0000-0000-0000-000000000000}"/>
  <bookViews>
    <workbookView xWindow="28680" yWindow="615" windowWidth="19440" windowHeight="15000" xr2:uid="{783A027C-3AEE-497E-A31F-E084E8992F91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L552" i="1" l="1"/>
  <c r="BK552" i="1"/>
  <c r="BB552" i="1"/>
  <c r="BA552" i="1"/>
  <c r="AY552" i="1"/>
  <c r="AL552" i="1"/>
  <c r="BL551" i="1"/>
  <c r="BK551" i="1"/>
  <c r="BH551" i="1"/>
  <c r="BG551" i="1"/>
  <c r="AL551" i="1"/>
  <c r="BL550" i="1"/>
  <c r="BK550" i="1"/>
  <c r="BB550" i="1"/>
  <c r="BA550" i="1"/>
  <c r="AZ550" i="1"/>
  <c r="AL550" i="1"/>
  <c r="BH549" i="1"/>
  <c r="BG549" i="1"/>
  <c r="AL549" i="1"/>
  <c r="BL548" i="1"/>
  <c r="BK548" i="1"/>
  <c r="BH548" i="1"/>
  <c r="BG548" i="1"/>
  <c r="AL548" i="1"/>
  <c r="BL547" i="1"/>
  <c r="BK547" i="1"/>
  <c r="BL546" i="1"/>
  <c r="BK546" i="1"/>
  <c r="BL544" i="1"/>
  <c r="BK544" i="1"/>
  <c r="BL543" i="1"/>
  <c r="BK543" i="1"/>
  <c r="BL542" i="1"/>
  <c r="BK542" i="1"/>
  <c r="BL541" i="1"/>
  <c r="BK541" i="1"/>
  <c r="BC540" i="1"/>
  <c r="BB540" i="1"/>
  <c r="BA540" i="1"/>
  <c r="AL540" i="1"/>
  <c r="Z540" i="1"/>
  <c r="AB540" i="1" s="1"/>
  <c r="BG539" i="1"/>
  <c r="AL539" i="1"/>
  <c r="Z539" i="1"/>
  <c r="AB539" i="1" s="1"/>
  <c r="BG538" i="1"/>
  <c r="AL538" i="1"/>
  <c r="Z538" i="1"/>
  <c r="AB538" i="1" s="1"/>
  <c r="BL531" i="1"/>
  <c r="BK531" i="1"/>
  <c r="BL530" i="1"/>
  <c r="BK530" i="1"/>
  <c r="BL529" i="1"/>
  <c r="BK529" i="1"/>
  <c r="BL528" i="1"/>
  <c r="BK528" i="1"/>
  <c r="BL527" i="1"/>
  <c r="BK527" i="1"/>
  <c r="BL526" i="1"/>
  <c r="BK526" i="1"/>
  <c r="BL525" i="1"/>
  <c r="BK525" i="1"/>
  <c r="BL524" i="1"/>
  <c r="BK524" i="1"/>
  <c r="BL523" i="1"/>
  <c r="BK523" i="1"/>
  <c r="BL522" i="1"/>
  <c r="BK522" i="1"/>
  <c r="BL521" i="1"/>
  <c r="BK521" i="1"/>
  <c r="BL520" i="1"/>
  <c r="BK520" i="1"/>
  <c r="BL519" i="1"/>
  <c r="BK519" i="1"/>
  <c r="BL518" i="1"/>
  <c r="BK518" i="1"/>
  <c r="BL517" i="1"/>
  <c r="BK517" i="1"/>
  <c r="BL516" i="1"/>
  <c r="BK516" i="1"/>
  <c r="BL515" i="1"/>
  <c r="BK515" i="1"/>
  <c r="BL514" i="1"/>
  <c r="BK514" i="1"/>
  <c r="BL513" i="1"/>
  <c r="BK513" i="1"/>
  <c r="BJ342" i="1"/>
  <c r="BL337" i="1"/>
  <c r="BK337" i="1"/>
  <c r="Y337" i="1"/>
  <c r="Z337" i="1" s="1"/>
  <c r="BL336" i="1"/>
  <c r="BK336" i="1"/>
  <c r="Y336" i="1"/>
  <c r="Z336" i="1" s="1"/>
  <c r="BL335" i="1"/>
  <c r="BK335" i="1"/>
  <c r="Y335" i="1"/>
  <c r="Z335" i="1" s="1"/>
  <c r="BL334" i="1"/>
  <c r="BK334" i="1"/>
  <c r="Y334" i="1"/>
  <c r="Z334" i="1" s="1"/>
  <c r="BL333" i="1"/>
  <c r="BK333" i="1"/>
  <c r="Y333" i="1"/>
  <c r="Z333" i="1" s="1"/>
  <c r="BL332" i="1"/>
  <c r="BK332" i="1"/>
  <c r="Y332" i="1"/>
  <c r="Z332" i="1" s="1"/>
  <c r="BL331" i="1"/>
  <c r="BK331" i="1"/>
  <c r="Y331" i="1"/>
  <c r="Z331" i="1" s="1"/>
  <c r="BL330" i="1"/>
  <c r="BK330" i="1"/>
  <c r="Y330" i="1"/>
  <c r="Z330" i="1" s="1"/>
  <c r="BL329" i="1"/>
  <c r="BK329" i="1"/>
  <c r="Y329" i="1"/>
  <c r="Z329" i="1" s="1"/>
  <c r="BL328" i="1"/>
  <c r="BK328" i="1"/>
  <c r="Y328" i="1"/>
  <c r="Z328" i="1" s="1"/>
  <c r="BL327" i="1"/>
  <c r="BK327" i="1"/>
  <c r="Y327" i="1"/>
  <c r="Z327" i="1" s="1"/>
  <c r="BL326" i="1"/>
  <c r="BK326" i="1"/>
  <c r="Y326" i="1"/>
  <c r="Z326" i="1" s="1"/>
  <c r="BL325" i="1"/>
  <c r="BK325" i="1"/>
  <c r="Y325" i="1"/>
  <c r="Z325" i="1" s="1"/>
  <c r="BL324" i="1"/>
  <c r="BK324" i="1"/>
  <c r="Y324" i="1"/>
  <c r="Z324" i="1" s="1"/>
  <c r="BL323" i="1"/>
  <c r="BK323" i="1"/>
  <c r="Y323" i="1"/>
  <c r="Z323" i="1" s="1"/>
  <c r="BL322" i="1"/>
  <c r="BK322" i="1"/>
  <c r="Y322" i="1"/>
  <c r="Z322" i="1" s="1"/>
  <c r="BL321" i="1"/>
  <c r="BK321" i="1"/>
  <c r="Y321" i="1"/>
  <c r="Z321" i="1" s="1"/>
  <c r="BL320" i="1"/>
  <c r="BK320" i="1"/>
  <c r="Y320" i="1"/>
  <c r="Z320" i="1" s="1"/>
  <c r="BL319" i="1"/>
  <c r="BK319" i="1"/>
  <c r="Y319" i="1"/>
  <c r="Z319" i="1" s="1"/>
  <c r="BL318" i="1"/>
  <c r="BK318" i="1"/>
  <c r="Y318" i="1"/>
  <c r="Z318" i="1" s="1"/>
  <c r="AB318" i="1" s="1"/>
  <c r="BL317" i="1"/>
  <c r="BK317" i="1"/>
  <c r="Y317" i="1"/>
  <c r="Z317" i="1" s="1"/>
  <c r="AB317" i="1" s="1"/>
  <c r="BL316" i="1"/>
  <c r="BK316" i="1"/>
  <c r="Y316" i="1"/>
  <c r="Z316" i="1" s="1"/>
  <c r="AB316" i="1" s="1"/>
  <c r="BL315" i="1"/>
  <c r="BK315" i="1"/>
  <c r="Y315" i="1"/>
  <c r="Z315" i="1" s="1"/>
  <c r="AB315" i="1" s="1"/>
  <c r="BL314" i="1"/>
  <c r="BK314" i="1"/>
  <c r="Y314" i="1"/>
  <c r="Z314" i="1" s="1"/>
  <c r="AB314" i="1" s="1"/>
  <c r="BL313" i="1"/>
  <c r="BK313" i="1"/>
  <c r="Y313" i="1"/>
  <c r="Z313" i="1" s="1"/>
  <c r="AB313" i="1" s="1"/>
  <c r="BL312" i="1"/>
  <c r="BK312" i="1"/>
  <c r="Y312" i="1"/>
  <c r="Z312" i="1" s="1"/>
  <c r="AB312" i="1" s="1"/>
  <c r="BL311" i="1"/>
  <c r="BK311" i="1"/>
  <c r="Y311" i="1"/>
  <c r="Z311" i="1" s="1"/>
  <c r="AB311" i="1" s="1"/>
  <c r="BL310" i="1"/>
  <c r="BK310" i="1"/>
  <c r="Y310" i="1"/>
  <c r="Z310" i="1" s="1"/>
  <c r="AB310" i="1" s="1"/>
  <c r="BL309" i="1"/>
  <c r="BK309" i="1"/>
  <c r="Y309" i="1"/>
  <c r="Z309" i="1" s="1"/>
  <c r="AB309" i="1" s="1"/>
  <c r="BL308" i="1"/>
  <c r="BK308" i="1"/>
  <c r="Y308" i="1"/>
  <c r="Z308" i="1" s="1"/>
  <c r="AB308" i="1" s="1"/>
  <c r="BL307" i="1"/>
  <c r="BK307" i="1"/>
  <c r="Y307" i="1"/>
  <c r="Z307" i="1" s="1"/>
  <c r="AB307" i="1" s="1"/>
  <c r="BL306" i="1"/>
  <c r="BK306" i="1"/>
  <c r="Y306" i="1"/>
  <c r="Z306" i="1" s="1"/>
  <c r="AB306" i="1" s="1"/>
  <c r="BL305" i="1"/>
  <c r="BK305" i="1"/>
  <c r="Y305" i="1"/>
  <c r="Z305" i="1" s="1"/>
  <c r="AB305" i="1" s="1"/>
  <c r="BL304" i="1"/>
  <c r="BK304" i="1"/>
  <c r="Y304" i="1"/>
  <c r="Z304" i="1" s="1"/>
  <c r="AB304" i="1" s="1"/>
  <c r="BL303" i="1"/>
  <c r="BK303" i="1"/>
  <c r="Y303" i="1"/>
  <c r="BL302" i="1"/>
  <c r="BK302" i="1"/>
  <c r="Y302" i="1"/>
  <c r="Z302" i="1" s="1"/>
  <c r="AB302" i="1" s="1"/>
  <c r="BL301" i="1"/>
  <c r="BK301" i="1"/>
  <c r="Y301" i="1"/>
  <c r="Z301" i="1" s="1"/>
  <c r="AB301" i="1" s="1"/>
  <c r="BL300" i="1"/>
  <c r="BK300" i="1"/>
  <c r="Y300" i="1"/>
  <c r="Z300" i="1" s="1"/>
  <c r="AB300" i="1" s="1"/>
  <c r="BL299" i="1"/>
  <c r="BK299" i="1"/>
  <c r="Y299" i="1"/>
  <c r="BL298" i="1"/>
  <c r="BK298" i="1"/>
  <c r="Y298" i="1"/>
  <c r="Z298" i="1" s="1"/>
  <c r="AB298" i="1" s="1"/>
  <c r="BL297" i="1"/>
  <c r="BK297" i="1"/>
  <c r="Y297" i="1"/>
  <c r="Z297" i="1" s="1"/>
  <c r="AB297" i="1" s="1"/>
  <c r="BL296" i="1"/>
  <c r="BK296" i="1"/>
  <c r="Y296" i="1"/>
  <c r="Z296" i="1" s="1"/>
  <c r="AB296" i="1" s="1"/>
  <c r="BL295" i="1"/>
  <c r="BK295" i="1"/>
  <c r="Y295" i="1"/>
  <c r="Z295" i="1" s="1"/>
  <c r="AB295" i="1" s="1"/>
  <c r="BL294" i="1"/>
  <c r="BK294" i="1"/>
  <c r="Y294" i="1"/>
  <c r="Z294" i="1" s="1"/>
  <c r="AB294" i="1" s="1"/>
  <c r="BL293" i="1"/>
  <c r="BK293" i="1"/>
  <c r="Y293" i="1"/>
  <c r="BL292" i="1"/>
  <c r="BK292" i="1"/>
  <c r="Y292" i="1"/>
  <c r="Z292" i="1" s="1"/>
  <c r="AB292" i="1" s="1"/>
  <c r="BL291" i="1"/>
  <c r="BK291" i="1"/>
  <c r="AO291" i="1"/>
  <c r="AN291" i="1"/>
  <c r="Y291" i="1"/>
  <c r="Z291" i="1" s="1"/>
  <c r="AB291" i="1" s="1"/>
  <c r="BL290" i="1"/>
  <c r="BK290" i="1"/>
  <c r="Y290" i="1"/>
  <c r="Z290" i="1" s="1"/>
  <c r="AB290" i="1" s="1"/>
  <c r="BL289" i="1"/>
  <c r="BK289" i="1"/>
  <c r="Y289" i="1"/>
  <c r="Z289" i="1" s="1"/>
  <c r="AB289" i="1" s="1"/>
  <c r="BL288" i="1"/>
  <c r="BK288" i="1"/>
  <c r="Y288" i="1"/>
  <c r="Z288" i="1" s="1"/>
  <c r="AB288" i="1" s="1"/>
  <c r="BL287" i="1"/>
  <c r="BK287" i="1"/>
  <c r="Y287" i="1"/>
  <c r="Z287" i="1" s="1"/>
  <c r="AB287" i="1" s="1"/>
  <c r="BL286" i="1"/>
  <c r="BK286" i="1"/>
  <c r="Y286" i="1"/>
  <c r="Z286" i="1" s="1"/>
  <c r="AB286" i="1" s="1"/>
  <c r="BL285" i="1"/>
  <c r="BK285" i="1"/>
  <c r="Y285" i="1"/>
  <c r="Z285" i="1" s="1"/>
  <c r="AB285" i="1" s="1"/>
  <c r="BL284" i="1"/>
  <c r="BK284" i="1"/>
  <c r="Y284" i="1"/>
  <c r="Z284" i="1" s="1"/>
  <c r="AB284" i="1" s="1"/>
  <c r="BL283" i="1"/>
  <c r="BK283" i="1"/>
  <c r="Y283" i="1"/>
  <c r="Z283" i="1" s="1"/>
  <c r="AB283" i="1" s="1"/>
  <c r="BL282" i="1"/>
  <c r="BK282" i="1"/>
  <c r="Y282" i="1"/>
  <c r="Z282" i="1" s="1"/>
  <c r="AB282" i="1" s="1"/>
  <c r="BL281" i="1"/>
  <c r="BK281" i="1"/>
  <c r="Y281" i="1"/>
  <c r="Z281" i="1" s="1"/>
  <c r="AB281" i="1" s="1"/>
  <c r="BL280" i="1"/>
  <c r="BK280" i="1"/>
  <c r="Y280" i="1"/>
  <c r="Z280" i="1" s="1"/>
  <c r="AB280" i="1" s="1"/>
  <c r="BL279" i="1"/>
  <c r="BK279" i="1"/>
  <c r="Y279" i="1"/>
  <c r="Z279" i="1" s="1"/>
  <c r="AB279" i="1" s="1"/>
  <c r="BL278" i="1"/>
  <c r="BK278" i="1"/>
  <c r="Y278" i="1"/>
  <c r="Z278" i="1" s="1"/>
  <c r="AB278" i="1" s="1"/>
  <c r="BL277" i="1"/>
  <c r="BK277" i="1"/>
  <c r="Y277" i="1"/>
  <c r="Z277" i="1" s="1"/>
  <c r="AB277" i="1" s="1"/>
  <c r="BL276" i="1"/>
  <c r="BK276" i="1"/>
  <c r="AO276" i="1"/>
  <c r="AL276" i="1" s="1"/>
  <c r="Y276" i="1"/>
  <c r="Z276" i="1" s="1"/>
  <c r="AB276" i="1" s="1"/>
  <c r="BL275" i="1"/>
  <c r="BK275" i="1"/>
  <c r="AL275" i="1"/>
  <c r="Y275" i="1"/>
  <c r="Z275" i="1" s="1"/>
  <c r="AB275" i="1" s="1"/>
  <c r="BL274" i="1"/>
  <c r="BK274" i="1"/>
  <c r="AO274" i="1"/>
  <c r="AL274" i="1" s="1"/>
  <c r="Y274" i="1"/>
  <c r="Z274" i="1" s="1"/>
  <c r="AB274" i="1" s="1"/>
  <c r="BL273" i="1"/>
  <c r="BK273" i="1"/>
  <c r="AL273" i="1"/>
  <c r="Y273" i="1"/>
  <c r="Z273" i="1" s="1"/>
  <c r="AB273" i="1" s="1"/>
  <c r="BL272" i="1"/>
  <c r="BK272" i="1"/>
  <c r="AP272" i="1"/>
  <c r="AL272" i="1" s="1"/>
  <c r="Y272" i="1"/>
  <c r="Z272" i="1" s="1"/>
  <c r="AB272" i="1" s="1"/>
  <c r="BL271" i="1"/>
  <c r="BK271" i="1"/>
  <c r="AL271" i="1"/>
  <c r="Y271" i="1"/>
  <c r="BL270" i="1"/>
  <c r="BK270" i="1"/>
  <c r="AL270" i="1"/>
  <c r="Y270" i="1"/>
  <c r="Z270" i="1" s="1"/>
  <c r="AB270" i="1" s="1"/>
  <c r="BL269" i="1"/>
  <c r="BK269" i="1"/>
  <c r="AL269" i="1"/>
  <c r="Y269" i="1"/>
  <c r="BL268" i="1"/>
  <c r="BK268" i="1"/>
  <c r="AL268" i="1"/>
  <c r="Y268" i="1"/>
  <c r="Z268" i="1" s="1"/>
  <c r="AB268" i="1" s="1"/>
  <c r="BL267" i="1"/>
  <c r="BK267" i="1"/>
  <c r="AL267" i="1"/>
  <c r="Y267" i="1"/>
  <c r="Z267" i="1" s="1"/>
  <c r="AB267" i="1" s="1"/>
  <c r="BL266" i="1"/>
  <c r="BK266" i="1"/>
  <c r="AL266" i="1"/>
  <c r="Y266" i="1"/>
  <c r="BL265" i="1"/>
  <c r="BK265" i="1"/>
  <c r="AL265" i="1"/>
  <c r="Y265" i="1"/>
  <c r="Z265" i="1" s="1"/>
  <c r="AB265" i="1" s="1"/>
  <c r="BL264" i="1"/>
  <c r="BK264" i="1"/>
  <c r="Y264" i="1"/>
  <c r="Z264" i="1" s="1"/>
  <c r="AB264" i="1" s="1"/>
  <c r="BL263" i="1"/>
  <c r="BK263" i="1"/>
  <c r="Y263" i="1"/>
  <c r="Z263" i="1" s="1"/>
  <c r="AB263" i="1" s="1"/>
  <c r="BL262" i="1"/>
  <c r="BK262" i="1"/>
  <c r="Y262" i="1"/>
  <c r="Z262" i="1" s="1"/>
  <c r="AB262" i="1" s="1"/>
  <c r="BL261" i="1"/>
  <c r="BK261" i="1"/>
  <c r="Y261" i="1"/>
  <c r="Z261" i="1" s="1"/>
  <c r="AB261" i="1" s="1"/>
  <c r="BL260" i="1"/>
  <c r="BK260" i="1"/>
  <c r="Y260" i="1"/>
  <c r="Z260" i="1" s="1"/>
  <c r="AB260" i="1" s="1"/>
  <c r="BL259" i="1"/>
  <c r="BK259" i="1"/>
  <c r="AL259" i="1"/>
  <c r="Y259" i="1"/>
  <c r="Z259" i="1" s="1"/>
  <c r="AB259" i="1" s="1"/>
  <c r="BL258" i="1"/>
  <c r="BK258" i="1"/>
  <c r="Y258" i="1"/>
  <c r="Z258" i="1" s="1"/>
  <c r="AB258" i="1" s="1"/>
  <c r="BL257" i="1"/>
  <c r="BK257" i="1"/>
  <c r="Y257" i="1"/>
  <c r="Z257" i="1" s="1"/>
  <c r="AB257" i="1" s="1"/>
  <c r="BL256" i="1"/>
  <c r="BK256" i="1"/>
  <c r="Y256" i="1"/>
  <c r="Z256" i="1" s="1"/>
  <c r="AB256" i="1" s="1"/>
  <c r="BL255" i="1"/>
  <c r="BK255" i="1"/>
  <c r="Y255" i="1"/>
  <c r="Z255" i="1" s="1"/>
  <c r="AB255" i="1" s="1"/>
  <c r="BL254" i="1"/>
  <c r="BK254" i="1"/>
  <c r="Y254" i="1"/>
  <c r="Z254" i="1" s="1"/>
  <c r="AB254" i="1" s="1"/>
  <c r="BL253" i="1"/>
  <c r="BK253" i="1"/>
  <c r="Y253" i="1"/>
  <c r="Z253" i="1" s="1"/>
  <c r="AB253" i="1" s="1"/>
  <c r="BL252" i="1"/>
  <c r="BK252" i="1"/>
  <c r="Y252" i="1"/>
  <c r="Z252" i="1" s="1"/>
  <c r="AB252" i="1" s="1"/>
  <c r="BL251" i="1"/>
  <c r="BK251" i="1"/>
  <c r="Y251" i="1"/>
  <c r="Z251" i="1" s="1"/>
  <c r="AB251" i="1" s="1"/>
  <c r="BL250" i="1"/>
  <c r="BK250" i="1"/>
  <c r="Y250" i="1"/>
  <c r="Z250" i="1" s="1"/>
  <c r="AB250" i="1" s="1"/>
  <c r="BL249" i="1"/>
  <c r="BK249" i="1"/>
  <c r="Y249" i="1"/>
  <c r="Z249" i="1" s="1"/>
  <c r="AB249" i="1" s="1"/>
  <c r="BL248" i="1"/>
  <c r="BK248" i="1"/>
  <c r="Y248" i="1"/>
  <c r="Z248" i="1" s="1"/>
  <c r="AB248" i="1" s="1"/>
  <c r="BL247" i="1"/>
  <c r="BK247" i="1"/>
  <c r="Y247" i="1"/>
  <c r="Z247" i="1" s="1"/>
  <c r="AB247" i="1" s="1"/>
  <c r="BL246" i="1"/>
  <c r="BK246" i="1"/>
  <c r="AL246" i="1"/>
  <c r="Y246" i="1"/>
  <c r="Z246" i="1" s="1"/>
  <c r="AB246" i="1" s="1"/>
  <c r="BL245" i="1"/>
  <c r="BK245" i="1"/>
  <c r="AL245" i="1"/>
  <c r="Y245" i="1"/>
  <c r="Z245" i="1" s="1"/>
  <c r="AB245" i="1" s="1"/>
  <c r="BL244" i="1"/>
  <c r="BK244" i="1"/>
  <c r="AL244" i="1"/>
  <c r="Y244" i="1"/>
  <c r="Z244" i="1" s="1"/>
  <c r="AB244" i="1" s="1"/>
  <c r="BL243" i="1"/>
  <c r="BK243" i="1"/>
  <c r="AL243" i="1"/>
  <c r="Y243" i="1"/>
  <c r="Z243" i="1" s="1"/>
  <c r="AB243" i="1" s="1"/>
  <c r="BL242" i="1"/>
  <c r="BK242" i="1"/>
  <c r="AL242" i="1"/>
  <c r="Y242" i="1"/>
  <c r="Z242" i="1" s="1"/>
  <c r="AB242" i="1" s="1"/>
  <c r="BL241" i="1"/>
  <c r="BK241" i="1"/>
  <c r="AL241" i="1"/>
  <c r="Y241" i="1"/>
  <c r="Z241" i="1" s="1"/>
  <c r="AB241" i="1" s="1"/>
  <c r="BL240" i="1"/>
  <c r="BK240" i="1"/>
  <c r="AL240" i="1"/>
  <c r="Y240" i="1"/>
  <c r="Z240" i="1" s="1"/>
  <c r="AB240" i="1" s="1"/>
  <c r="BL239" i="1"/>
  <c r="BK239" i="1"/>
  <c r="AL239" i="1"/>
  <c r="Y239" i="1"/>
  <c r="Z239" i="1" s="1"/>
  <c r="AB239" i="1" s="1"/>
  <c r="BL238" i="1"/>
  <c r="BK238" i="1"/>
  <c r="AL238" i="1"/>
  <c r="Y238" i="1"/>
  <c r="Z238" i="1" s="1"/>
  <c r="AB238" i="1" s="1"/>
  <c r="BL237" i="1"/>
  <c r="BK237" i="1"/>
  <c r="AL237" i="1"/>
  <c r="Y237" i="1"/>
  <c r="Z237" i="1" s="1"/>
  <c r="AB237" i="1" s="1"/>
  <c r="BL236" i="1"/>
  <c r="BK236" i="1"/>
  <c r="AL236" i="1"/>
  <c r="Y236" i="1"/>
  <c r="Z236" i="1" s="1"/>
  <c r="AB236" i="1" s="1"/>
  <c r="BL235" i="1"/>
  <c r="BK235" i="1"/>
  <c r="AL235" i="1"/>
  <c r="Y235" i="1"/>
  <c r="Z235" i="1" s="1"/>
  <c r="AB235" i="1" s="1"/>
  <c r="BL234" i="1"/>
  <c r="BK234" i="1"/>
  <c r="AL234" i="1"/>
  <c r="Y234" i="1"/>
  <c r="Z234" i="1" s="1"/>
  <c r="AB234" i="1" s="1"/>
  <c r="BL233" i="1"/>
  <c r="BK233" i="1"/>
  <c r="AL233" i="1"/>
  <c r="Y233" i="1"/>
  <c r="Z233" i="1" s="1"/>
  <c r="AB233" i="1" s="1"/>
  <c r="BL232" i="1"/>
  <c r="BK232" i="1"/>
  <c r="AL232" i="1"/>
  <c r="Y232" i="1"/>
  <c r="Z232" i="1" s="1"/>
  <c r="AB232" i="1" s="1"/>
  <c r="BL231" i="1"/>
  <c r="BK231" i="1"/>
  <c r="AL231" i="1"/>
  <c r="Y231" i="1"/>
  <c r="Z231" i="1" s="1"/>
  <c r="AB231" i="1" s="1"/>
  <c r="BL230" i="1"/>
  <c r="BK230" i="1"/>
  <c r="Y230" i="1"/>
  <c r="Z230" i="1" s="1"/>
  <c r="AB230" i="1" s="1"/>
  <c r="BL229" i="1"/>
  <c r="BK229" i="1"/>
  <c r="Y229" i="1"/>
  <c r="Z229" i="1" s="1"/>
  <c r="AB229" i="1" s="1"/>
  <c r="BL228" i="1"/>
  <c r="BK228" i="1"/>
  <c r="Y228" i="1"/>
  <c r="Z228" i="1" s="1"/>
  <c r="AB228" i="1" s="1"/>
  <c r="BL227" i="1"/>
  <c r="BK227" i="1"/>
  <c r="Y227" i="1"/>
  <c r="Z227" i="1" s="1"/>
  <c r="AB227" i="1" s="1"/>
  <c r="BL226" i="1"/>
  <c r="BK226" i="1"/>
  <c r="Y226" i="1"/>
  <c r="Z226" i="1" s="1"/>
  <c r="AB226" i="1" s="1"/>
  <c r="BL225" i="1"/>
  <c r="BK225" i="1"/>
  <c r="Y225" i="1"/>
  <c r="Z225" i="1" s="1"/>
  <c r="AB225" i="1" s="1"/>
  <c r="BL224" i="1"/>
  <c r="BK224" i="1"/>
  <c r="Y224" i="1"/>
  <c r="Z224" i="1" s="1"/>
  <c r="AB224" i="1" s="1"/>
  <c r="BL223" i="1"/>
  <c r="BK223" i="1"/>
  <c r="Y223" i="1"/>
  <c r="Z223" i="1" s="1"/>
  <c r="AB223" i="1" s="1"/>
  <c r="BL222" i="1"/>
  <c r="BK222" i="1"/>
  <c r="Y222" i="1"/>
  <c r="Z222" i="1" s="1"/>
  <c r="AB222" i="1" s="1"/>
  <c r="BL221" i="1"/>
  <c r="BK221" i="1"/>
  <c r="Y221" i="1"/>
  <c r="Z221" i="1" s="1"/>
  <c r="AB221" i="1" s="1"/>
  <c r="BL220" i="1"/>
  <c r="BK220" i="1"/>
  <c r="Y220" i="1"/>
  <c r="Z220" i="1" s="1"/>
  <c r="AB220" i="1" s="1"/>
  <c r="BL219" i="1"/>
  <c r="BK219" i="1"/>
  <c r="Y219" i="1"/>
  <c r="Z219" i="1" s="1"/>
  <c r="AB219" i="1" s="1"/>
  <c r="BL218" i="1"/>
  <c r="BK218" i="1"/>
  <c r="Y218" i="1"/>
  <c r="Z218" i="1" s="1"/>
  <c r="AB218" i="1" s="1"/>
  <c r="BL217" i="1"/>
  <c r="BK217" i="1"/>
  <c r="Y217" i="1"/>
  <c r="Z217" i="1" s="1"/>
  <c r="AB217" i="1" s="1"/>
  <c r="BL216" i="1"/>
  <c r="BK216" i="1"/>
  <c r="Y216" i="1"/>
  <c r="Z216" i="1" s="1"/>
  <c r="AB216" i="1" s="1"/>
  <c r="BL215" i="1"/>
  <c r="BK215" i="1"/>
  <c r="Y215" i="1"/>
  <c r="Z215" i="1" s="1"/>
  <c r="AB215" i="1" s="1"/>
  <c r="BL214" i="1"/>
  <c r="BK214" i="1"/>
  <c r="Y214" i="1"/>
  <c r="Z214" i="1" s="1"/>
  <c r="AB214" i="1" s="1"/>
  <c r="BL213" i="1"/>
  <c r="BK213" i="1"/>
  <c r="Y213" i="1"/>
  <c r="Z213" i="1" s="1"/>
  <c r="AB213" i="1" s="1"/>
  <c r="BL212" i="1"/>
  <c r="BK212" i="1"/>
  <c r="Y212" i="1"/>
  <c r="Z212" i="1" s="1"/>
  <c r="AB212" i="1" s="1"/>
  <c r="BL211" i="1"/>
  <c r="BK211" i="1"/>
  <c r="Y211" i="1"/>
  <c r="Z211" i="1" s="1"/>
  <c r="AB211" i="1" s="1"/>
  <c r="BL210" i="1"/>
  <c r="BK210" i="1"/>
  <c r="Y210" i="1"/>
  <c r="Z210" i="1" s="1"/>
  <c r="AB210" i="1" s="1"/>
  <c r="BL209" i="1"/>
  <c r="BK209" i="1"/>
  <c r="Y209" i="1"/>
  <c r="Z209" i="1" s="1"/>
  <c r="AB209" i="1" s="1"/>
  <c r="BL208" i="1"/>
  <c r="BK208" i="1"/>
  <c r="Y208" i="1"/>
  <c r="Z208" i="1" s="1"/>
  <c r="AB208" i="1" s="1"/>
  <c r="BL207" i="1"/>
  <c r="BK207" i="1"/>
  <c r="Y207" i="1"/>
  <c r="Z207" i="1" s="1"/>
  <c r="AB207" i="1" s="1"/>
  <c r="BL206" i="1"/>
  <c r="BK206" i="1"/>
  <c r="Y206" i="1"/>
  <c r="Z206" i="1" s="1"/>
  <c r="AB206" i="1" s="1"/>
  <c r="BL205" i="1"/>
  <c r="BK205" i="1"/>
  <c r="Y205" i="1"/>
  <c r="Z205" i="1" s="1"/>
  <c r="AB205" i="1" s="1"/>
  <c r="BL204" i="1"/>
  <c r="BK204" i="1"/>
  <c r="Y204" i="1"/>
  <c r="Z204" i="1" s="1"/>
  <c r="AB204" i="1" s="1"/>
  <c r="BL203" i="1"/>
  <c r="BK203" i="1"/>
  <c r="Y203" i="1"/>
  <c r="Z203" i="1" s="1"/>
  <c r="AB203" i="1" s="1"/>
  <c r="BL202" i="1"/>
  <c r="BK202" i="1"/>
  <c r="Y202" i="1"/>
  <c r="Z202" i="1" s="1"/>
  <c r="AB202" i="1" s="1"/>
  <c r="BL201" i="1"/>
  <c r="BK201" i="1"/>
  <c r="Y201" i="1"/>
  <c r="Z201" i="1" s="1"/>
  <c r="AB201" i="1" s="1"/>
  <c r="BL200" i="1"/>
  <c r="BK200" i="1"/>
  <c r="Y200" i="1"/>
  <c r="Z200" i="1" s="1"/>
  <c r="AB200" i="1" s="1"/>
  <c r="BL199" i="1"/>
  <c r="BK199" i="1"/>
  <c r="Y199" i="1"/>
  <c r="Z199" i="1" s="1"/>
  <c r="AB199" i="1" s="1"/>
  <c r="BL198" i="1"/>
  <c r="BK198" i="1"/>
  <c r="Y198" i="1"/>
  <c r="Z198" i="1" s="1"/>
  <c r="AB198" i="1" s="1"/>
  <c r="BL197" i="1"/>
  <c r="BK197" i="1"/>
  <c r="Y197" i="1"/>
  <c r="Z197" i="1" s="1"/>
  <c r="AB197" i="1" s="1"/>
  <c r="BL196" i="1"/>
  <c r="BK196" i="1"/>
  <c r="Y196" i="1"/>
  <c r="Z196" i="1" s="1"/>
  <c r="AB196" i="1" s="1"/>
  <c r="BL195" i="1"/>
  <c r="BK195" i="1"/>
  <c r="Y195" i="1"/>
  <c r="Z195" i="1" s="1"/>
  <c r="AB195" i="1" s="1"/>
  <c r="BL194" i="1"/>
  <c r="BK194" i="1"/>
  <c r="Y194" i="1"/>
  <c r="Z194" i="1" s="1"/>
  <c r="AB194" i="1" s="1"/>
  <c r="BL193" i="1"/>
  <c r="BK193" i="1"/>
  <c r="Y193" i="1"/>
  <c r="Z193" i="1" s="1"/>
  <c r="AB193" i="1" s="1"/>
  <c r="BL192" i="1"/>
  <c r="BK192" i="1"/>
  <c r="Y192" i="1"/>
  <c r="Z192" i="1" s="1"/>
  <c r="AB192" i="1" s="1"/>
  <c r="BL191" i="1"/>
  <c r="BK191" i="1"/>
  <c r="Y191" i="1"/>
  <c r="Z191" i="1" s="1"/>
  <c r="AB191" i="1" s="1"/>
  <c r="BL190" i="1"/>
  <c r="BK190" i="1"/>
  <c r="Y190" i="1"/>
  <c r="Z190" i="1" s="1"/>
  <c r="AB190" i="1" s="1"/>
  <c r="BL189" i="1"/>
  <c r="BK189" i="1"/>
  <c r="Y189" i="1"/>
  <c r="BL188" i="1"/>
  <c r="BK188" i="1"/>
  <c r="Y188" i="1"/>
  <c r="Z188" i="1" s="1"/>
  <c r="AB188" i="1" s="1"/>
  <c r="BL187" i="1"/>
  <c r="BK187" i="1"/>
  <c r="Y187" i="1"/>
  <c r="Z187" i="1" s="1"/>
  <c r="AB187" i="1" s="1"/>
  <c r="BL186" i="1"/>
  <c r="BK186" i="1"/>
  <c r="Y186" i="1"/>
  <c r="Z186" i="1" s="1"/>
  <c r="AB186" i="1" s="1"/>
  <c r="BL185" i="1"/>
  <c r="BK185" i="1"/>
  <c r="Y185" i="1"/>
  <c r="Z185" i="1" s="1"/>
  <c r="AB185" i="1" s="1"/>
  <c r="BL184" i="1"/>
  <c r="BK184" i="1"/>
  <c r="Y184" i="1"/>
  <c r="BL183" i="1"/>
  <c r="BK183" i="1"/>
  <c r="Y183" i="1"/>
  <c r="BL182" i="1"/>
  <c r="BK182" i="1"/>
  <c r="Y182" i="1"/>
  <c r="Z182" i="1" s="1"/>
  <c r="AB182" i="1" s="1"/>
  <c r="BL181" i="1"/>
  <c r="BK181" i="1"/>
  <c r="Y181" i="1"/>
  <c r="Z181" i="1" s="1"/>
  <c r="AB181" i="1" s="1"/>
  <c r="BL180" i="1"/>
  <c r="BK180" i="1"/>
  <c r="Y180" i="1"/>
  <c r="Z180" i="1" s="1"/>
  <c r="AB180" i="1" s="1"/>
  <c r="BL179" i="1"/>
  <c r="BK179" i="1"/>
  <c r="Y179" i="1"/>
  <c r="Z179" i="1" s="1"/>
  <c r="AB179" i="1" s="1"/>
  <c r="BL178" i="1"/>
  <c r="BK178" i="1"/>
  <c r="Y178" i="1"/>
  <c r="Z178" i="1" s="1"/>
  <c r="AB178" i="1" s="1"/>
  <c r="BL177" i="1"/>
  <c r="BK177" i="1"/>
  <c r="Y177" i="1"/>
  <c r="Z177" i="1" s="1"/>
  <c r="AB177" i="1" s="1"/>
  <c r="BL176" i="1"/>
  <c r="BK176" i="1"/>
  <c r="Y176" i="1"/>
  <c r="BL175" i="1"/>
  <c r="BK175" i="1"/>
  <c r="Y175" i="1"/>
  <c r="BL174" i="1"/>
  <c r="BK174" i="1"/>
  <c r="Y174" i="1"/>
  <c r="Z174" i="1" s="1"/>
  <c r="AB174" i="1" s="1"/>
  <c r="BL173" i="1"/>
  <c r="BK173" i="1"/>
  <c r="Y173" i="1"/>
  <c r="Z173" i="1" s="1"/>
  <c r="AB173" i="1" s="1"/>
  <c r="BL172" i="1"/>
  <c r="BK172" i="1"/>
  <c r="Y172" i="1"/>
  <c r="Z172" i="1" s="1"/>
  <c r="AB172" i="1" s="1"/>
  <c r="BL171" i="1"/>
  <c r="BK171" i="1"/>
  <c r="Y171" i="1"/>
  <c r="Z171" i="1" s="1"/>
  <c r="AB171" i="1" s="1"/>
  <c r="BL170" i="1"/>
  <c r="BK170" i="1"/>
  <c r="Y170" i="1"/>
  <c r="Z170" i="1" s="1"/>
  <c r="AB170" i="1" s="1"/>
  <c r="BL169" i="1"/>
  <c r="BK169" i="1"/>
  <c r="Y169" i="1"/>
  <c r="Z169" i="1" s="1"/>
  <c r="AB169" i="1" s="1"/>
  <c r="BL168" i="1"/>
  <c r="BK168" i="1"/>
  <c r="Y168" i="1"/>
  <c r="Z168" i="1" s="1"/>
  <c r="AB168" i="1" s="1"/>
  <c r="BL167" i="1"/>
  <c r="BK167" i="1"/>
  <c r="Y167" i="1"/>
  <c r="Z167" i="1" s="1"/>
  <c r="AB167" i="1" s="1"/>
  <c r="BL166" i="1"/>
  <c r="BK166" i="1"/>
  <c r="Y166" i="1"/>
  <c r="Z166" i="1" s="1"/>
  <c r="AB166" i="1" s="1"/>
  <c r="BL165" i="1"/>
  <c r="BK165" i="1"/>
  <c r="Y165" i="1"/>
  <c r="Z165" i="1" s="1"/>
  <c r="AB165" i="1" s="1"/>
  <c r="BL164" i="1"/>
  <c r="BK164" i="1"/>
  <c r="Y164" i="1"/>
  <c r="Z164" i="1" s="1"/>
  <c r="AB164" i="1" s="1"/>
  <c r="BL163" i="1"/>
  <c r="BK163" i="1"/>
  <c r="Y163" i="1"/>
  <c r="BL162" i="1"/>
  <c r="BK162" i="1"/>
  <c r="Y162" i="1"/>
  <c r="Z162" i="1" s="1"/>
  <c r="AB162" i="1" s="1"/>
  <c r="BL161" i="1"/>
  <c r="BK161" i="1"/>
  <c r="Y161" i="1"/>
  <c r="BL160" i="1"/>
  <c r="BK160" i="1"/>
  <c r="Y160" i="1"/>
  <c r="Z160" i="1" s="1"/>
  <c r="AB160" i="1" s="1"/>
  <c r="BL159" i="1"/>
  <c r="BK159" i="1"/>
  <c r="Y159" i="1"/>
  <c r="BL158" i="1"/>
  <c r="BK158" i="1"/>
  <c r="Y158" i="1"/>
  <c r="Z158" i="1" s="1"/>
  <c r="AB158" i="1" s="1"/>
  <c r="BL157" i="1"/>
  <c r="BK157" i="1"/>
  <c r="Y157" i="1"/>
  <c r="Z157" i="1" s="1"/>
  <c r="AB157" i="1" s="1"/>
  <c r="BL156" i="1"/>
  <c r="BK156" i="1"/>
  <c r="Y156" i="1"/>
  <c r="BL155" i="1"/>
  <c r="BK155" i="1"/>
  <c r="Y155" i="1"/>
  <c r="Z155" i="1" s="1"/>
  <c r="AB155" i="1" s="1"/>
  <c r="BL154" i="1"/>
  <c r="BK154" i="1"/>
  <c r="Y154" i="1"/>
  <c r="Z154" i="1" s="1"/>
  <c r="AB154" i="1" s="1"/>
  <c r="BL153" i="1"/>
  <c r="BK153" i="1"/>
  <c r="Y153" i="1"/>
  <c r="Z153" i="1" s="1"/>
  <c r="AB153" i="1" s="1"/>
  <c r="BL152" i="1"/>
  <c r="BK152" i="1"/>
  <c r="Y152" i="1"/>
  <c r="Z152" i="1" s="1"/>
  <c r="AB152" i="1" s="1"/>
  <c r="BL151" i="1"/>
  <c r="BK151" i="1"/>
  <c r="Y151" i="1"/>
  <c r="Z151" i="1" s="1"/>
  <c r="AB151" i="1" s="1"/>
  <c r="BL150" i="1"/>
  <c r="BK150" i="1"/>
  <c r="Y150" i="1"/>
  <c r="BL149" i="1"/>
  <c r="BK149" i="1"/>
  <c r="Y149" i="1"/>
  <c r="Z149" i="1" s="1"/>
  <c r="AB149" i="1" s="1"/>
  <c r="BL148" i="1"/>
  <c r="BK148" i="1"/>
  <c r="Y148" i="1"/>
  <c r="Z148" i="1" s="1"/>
  <c r="AB148" i="1" s="1"/>
  <c r="BL147" i="1"/>
  <c r="BK147" i="1"/>
  <c r="Y147" i="1"/>
  <c r="Z147" i="1" s="1"/>
  <c r="AB147" i="1" s="1"/>
  <c r="BL146" i="1"/>
  <c r="BK146" i="1"/>
  <c r="Y146" i="1"/>
  <c r="Z146" i="1" s="1"/>
  <c r="AB146" i="1" s="1"/>
  <c r="BL145" i="1"/>
  <c r="BK145" i="1"/>
  <c r="Y145" i="1"/>
  <c r="Z145" i="1" s="1"/>
  <c r="AB145" i="1" s="1"/>
  <c r="BL144" i="1"/>
  <c r="BK144" i="1"/>
  <c r="Y144" i="1"/>
  <c r="Z144" i="1" s="1"/>
  <c r="AB144" i="1" s="1"/>
  <c r="BL143" i="1"/>
  <c r="BK143" i="1"/>
  <c r="Y143" i="1"/>
  <c r="Z143" i="1" s="1"/>
  <c r="AB143" i="1" s="1"/>
  <c r="BL142" i="1"/>
  <c r="BK142" i="1"/>
  <c r="Y142" i="1"/>
  <c r="Z142" i="1" s="1"/>
  <c r="AB142" i="1" s="1"/>
  <c r="BL141" i="1"/>
  <c r="BK141" i="1"/>
  <c r="Y141" i="1"/>
  <c r="Z141" i="1" s="1"/>
  <c r="AB141" i="1" s="1"/>
  <c r="BL140" i="1"/>
  <c r="BK140" i="1"/>
  <c r="Y140" i="1"/>
  <c r="Z140" i="1" s="1"/>
  <c r="AB140" i="1" s="1"/>
  <c r="BL139" i="1"/>
  <c r="BK139" i="1"/>
  <c r="Y139" i="1"/>
  <c r="Z139" i="1" s="1"/>
  <c r="AB139" i="1" s="1"/>
  <c r="BL138" i="1"/>
  <c r="BK138" i="1"/>
  <c r="Y138" i="1"/>
  <c r="Z138" i="1" s="1"/>
  <c r="AB138" i="1" s="1"/>
  <c r="BL137" i="1"/>
  <c r="BK137" i="1"/>
  <c r="Y137" i="1"/>
  <c r="Z137" i="1" s="1"/>
  <c r="AB137" i="1" s="1"/>
  <c r="BL136" i="1"/>
  <c r="BK136" i="1"/>
  <c r="Y136" i="1"/>
  <c r="Z136" i="1" s="1"/>
  <c r="AB136" i="1" s="1"/>
  <c r="BL135" i="1"/>
  <c r="BK135" i="1"/>
  <c r="Y135" i="1"/>
  <c r="BL134" i="1"/>
  <c r="BK134" i="1"/>
  <c r="Y134" i="1"/>
  <c r="Z134" i="1" s="1"/>
  <c r="AB134" i="1" s="1"/>
  <c r="BL133" i="1"/>
  <c r="BK133" i="1"/>
  <c r="Y133" i="1"/>
  <c r="Z133" i="1" s="1"/>
  <c r="AB133" i="1" s="1"/>
  <c r="BL132" i="1"/>
  <c r="BK132" i="1"/>
  <c r="Y132" i="1"/>
  <c r="Z132" i="1" s="1"/>
  <c r="AB132" i="1" s="1"/>
  <c r="BL131" i="1"/>
  <c r="BK131" i="1"/>
  <c r="Y131" i="1"/>
  <c r="Z131" i="1" s="1"/>
  <c r="AB131" i="1" s="1"/>
  <c r="BL130" i="1"/>
  <c r="BK130" i="1"/>
  <c r="Y130" i="1"/>
  <c r="Z130" i="1" s="1"/>
  <c r="AB130" i="1" s="1"/>
  <c r="BL129" i="1"/>
  <c r="BK129" i="1"/>
  <c r="Y129" i="1"/>
  <c r="Z129" i="1" s="1"/>
  <c r="AB129" i="1" s="1"/>
  <c r="S129" i="1"/>
  <c r="BL128" i="1"/>
  <c r="BK128" i="1"/>
  <c r="Y128" i="1"/>
  <c r="Z128" i="1" s="1"/>
  <c r="AB128" i="1" s="1"/>
  <c r="S128" i="1"/>
  <c r="BL127" i="1"/>
  <c r="BK127" i="1"/>
  <c r="Y127" i="1"/>
  <c r="Z127" i="1" s="1"/>
  <c r="AB127" i="1" s="1"/>
  <c r="BL126" i="1"/>
  <c r="BK126" i="1"/>
  <c r="Y126" i="1"/>
  <c r="Z126" i="1" s="1"/>
  <c r="AB126" i="1" s="1"/>
  <c r="BL125" i="1"/>
  <c r="BK125" i="1"/>
  <c r="Y125" i="1"/>
  <c r="Z125" i="1" s="1"/>
  <c r="AB125" i="1" s="1"/>
  <c r="BL124" i="1"/>
  <c r="BK124" i="1"/>
  <c r="Y124" i="1"/>
  <c r="Z124" i="1" s="1"/>
  <c r="AB124" i="1" s="1"/>
  <c r="BL123" i="1"/>
  <c r="BK123" i="1"/>
  <c r="Y123" i="1"/>
  <c r="Z123" i="1" s="1"/>
  <c r="AB123" i="1" s="1"/>
  <c r="BL122" i="1"/>
  <c r="BK122" i="1"/>
  <c r="Y122" i="1"/>
  <c r="Z122" i="1" s="1"/>
  <c r="AB122" i="1" s="1"/>
  <c r="BL121" i="1"/>
  <c r="BK121" i="1"/>
  <c r="Y121" i="1"/>
  <c r="Z121" i="1" s="1"/>
  <c r="AB121" i="1" s="1"/>
  <c r="BL120" i="1"/>
  <c r="BK120" i="1"/>
  <c r="Y120" i="1"/>
  <c r="BL119" i="1"/>
  <c r="BK119" i="1"/>
  <c r="Y119" i="1"/>
  <c r="Z119" i="1" s="1"/>
  <c r="AB119" i="1" s="1"/>
  <c r="BL118" i="1"/>
  <c r="BK118" i="1"/>
  <c r="Y118" i="1"/>
  <c r="Z118" i="1" s="1"/>
  <c r="AB118" i="1" s="1"/>
  <c r="BL117" i="1"/>
  <c r="BK117" i="1"/>
  <c r="Y117" i="1"/>
  <c r="Z117" i="1" s="1"/>
  <c r="AB117" i="1" s="1"/>
  <c r="BL116" i="1"/>
  <c r="BK116" i="1"/>
  <c r="Y116" i="1"/>
  <c r="Z116" i="1" s="1"/>
  <c r="AB116" i="1" s="1"/>
  <c r="BL115" i="1"/>
  <c r="BK115" i="1"/>
  <c r="Y115" i="1"/>
  <c r="Z115" i="1" s="1"/>
  <c r="AB115" i="1" s="1"/>
  <c r="BL114" i="1"/>
  <c r="BK114" i="1"/>
  <c r="Y114" i="1"/>
  <c r="Z114" i="1" s="1"/>
  <c r="AB114" i="1" s="1"/>
  <c r="BL113" i="1"/>
  <c r="BK113" i="1"/>
  <c r="Y113" i="1"/>
  <c r="Z113" i="1" s="1"/>
  <c r="AB113" i="1" s="1"/>
  <c r="BL112" i="1"/>
  <c r="BK112" i="1"/>
  <c r="Y112" i="1"/>
  <c r="Z112" i="1" s="1"/>
  <c r="AB112" i="1" s="1"/>
  <c r="BL111" i="1"/>
  <c r="BK111" i="1"/>
  <c r="Y111" i="1"/>
  <c r="Z111" i="1" s="1"/>
  <c r="AB111" i="1" s="1"/>
  <c r="BL110" i="1"/>
  <c r="BK110" i="1"/>
  <c r="BG110" i="1"/>
  <c r="AL110" i="1"/>
  <c r="Y110" i="1"/>
  <c r="Z110" i="1" s="1"/>
  <c r="AB110" i="1" s="1"/>
  <c r="BL109" i="1"/>
  <c r="BK109" i="1"/>
  <c r="Y109" i="1"/>
  <c r="Z109" i="1" s="1"/>
  <c r="AB109" i="1" s="1"/>
  <c r="BL108" i="1"/>
  <c r="BK108" i="1"/>
  <c r="Y108" i="1"/>
  <c r="Z108" i="1" s="1"/>
  <c r="AB108" i="1" s="1"/>
  <c r="BL107" i="1"/>
  <c r="BK107" i="1"/>
  <c r="Y107" i="1"/>
  <c r="Z107" i="1" s="1"/>
  <c r="AB107" i="1" s="1"/>
  <c r="BL106" i="1"/>
  <c r="BK106" i="1"/>
  <c r="Y106" i="1"/>
  <c r="Z106" i="1" s="1"/>
  <c r="AB106" i="1" s="1"/>
  <c r="BL105" i="1"/>
  <c r="BK105" i="1"/>
  <c r="Y105" i="1"/>
  <c r="Z105" i="1" s="1"/>
  <c r="AB105" i="1" s="1"/>
  <c r="BL104" i="1"/>
  <c r="BK104" i="1"/>
  <c r="Y104" i="1"/>
  <c r="Z104" i="1" s="1"/>
  <c r="AB104" i="1" s="1"/>
  <c r="BL103" i="1"/>
  <c r="BK103" i="1"/>
  <c r="Y103" i="1"/>
  <c r="Z103" i="1" s="1"/>
  <c r="AB103" i="1" s="1"/>
  <c r="BL102" i="1"/>
  <c r="BK102" i="1"/>
  <c r="Y102" i="1"/>
  <c r="Z102" i="1" s="1"/>
  <c r="AB102" i="1" s="1"/>
  <c r="BL101" i="1"/>
  <c r="BK101" i="1"/>
  <c r="Y101" i="1"/>
  <c r="Z101" i="1" s="1"/>
  <c r="AB101" i="1" s="1"/>
  <c r="BL100" i="1"/>
  <c r="BK100" i="1"/>
  <c r="Y100" i="1"/>
  <c r="Z100" i="1" s="1"/>
  <c r="AB100" i="1" s="1"/>
  <c r="BL99" i="1"/>
  <c r="BK99" i="1"/>
  <c r="Y99" i="1"/>
  <c r="Z99" i="1" s="1"/>
  <c r="AB99" i="1" s="1"/>
  <c r="BL98" i="1"/>
  <c r="BK98" i="1"/>
  <c r="Y98" i="1"/>
  <c r="Z98" i="1" s="1"/>
  <c r="AB98" i="1" s="1"/>
  <c r="BL97" i="1"/>
  <c r="BK97" i="1"/>
  <c r="Y97" i="1"/>
  <c r="Z97" i="1" s="1"/>
  <c r="AB97" i="1" s="1"/>
  <c r="Q97" i="1"/>
  <c r="BL96" i="1"/>
  <c r="BK96" i="1"/>
  <c r="Y96" i="1"/>
  <c r="Z96" i="1" s="1"/>
  <c r="AB96" i="1" s="1"/>
  <c r="BL95" i="1"/>
  <c r="BK95" i="1"/>
  <c r="Y95" i="1"/>
  <c r="Z95" i="1" s="1"/>
  <c r="AB95" i="1" s="1"/>
  <c r="BL94" i="1"/>
  <c r="BK94" i="1"/>
  <c r="Y94" i="1"/>
  <c r="Z94" i="1" s="1"/>
  <c r="AB94" i="1" s="1"/>
  <c r="BL93" i="1"/>
  <c r="BK93" i="1"/>
  <c r="Y93" i="1"/>
  <c r="Z93" i="1" s="1"/>
  <c r="AB93" i="1" s="1"/>
  <c r="BL92" i="1"/>
  <c r="BK92" i="1"/>
  <c r="Y92" i="1"/>
  <c r="Z92" i="1" s="1"/>
  <c r="AB92" i="1" s="1"/>
  <c r="BL91" i="1"/>
  <c r="BK91" i="1"/>
  <c r="Y91" i="1"/>
  <c r="Z91" i="1" s="1"/>
  <c r="AB91" i="1" s="1"/>
  <c r="BL90" i="1"/>
  <c r="BK90" i="1"/>
  <c r="Y90" i="1"/>
  <c r="Z90" i="1" s="1"/>
  <c r="AB90" i="1" s="1"/>
  <c r="BL89" i="1"/>
  <c r="BK89" i="1"/>
  <c r="Y89" i="1"/>
  <c r="Z89" i="1" s="1"/>
  <c r="AB89" i="1" s="1"/>
  <c r="BL88" i="1"/>
  <c r="BK88" i="1"/>
  <c r="Y88" i="1"/>
  <c r="Z88" i="1" s="1"/>
  <c r="AB88" i="1" s="1"/>
  <c r="BL87" i="1"/>
  <c r="BK87" i="1"/>
  <c r="Y87" i="1"/>
  <c r="Z87" i="1" s="1"/>
  <c r="AB87" i="1" s="1"/>
  <c r="BL86" i="1"/>
  <c r="BK86" i="1"/>
  <c r="Y86" i="1"/>
  <c r="Z86" i="1" s="1"/>
  <c r="AB86" i="1" s="1"/>
  <c r="BL85" i="1"/>
  <c r="BK85" i="1"/>
  <c r="Y85" i="1"/>
  <c r="Z85" i="1" s="1"/>
  <c r="AB85" i="1" s="1"/>
  <c r="BL84" i="1"/>
  <c r="BK84" i="1"/>
  <c r="Y84" i="1"/>
  <c r="Z84" i="1" s="1"/>
  <c r="AB84" i="1" s="1"/>
  <c r="Q84" i="1"/>
  <c r="BL83" i="1"/>
  <c r="BK83" i="1"/>
  <c r="Y83" i="1"/>
  <c r="Z83" i="1" s="1"/>
  <c r="AB83" i="1" s="1"/>
  <c r="BL82" i="1"/>
  <c r="BK82" i="1"/>
  <c r="Y82" i="1"/>
  <c r="Z82" i="1" s="1"/>
  <c r="AB82" i="1" s="1"/>
  <c r="BL81" i="1"/>
  <c r="BK81" i="1"/>
  <c r="Y81" i="1"/>
  <c r="Z81" i="1" s="1"/>
  <c r="AB81" i="1" s="1"/>
  <c r="BL80" i="1"/>
  <c r="BK80" i="1"/>
  <c r="Y80" i="1"/>
  <c r="Z80" i="1" s="1"/>
  <c r="AB80" i="1" s="1"/>
  <c r="BL79" i="1"/>
  <c r="BK79" i="1"/>
  <c r="Y79" i="1"/>
  <c r="Z79" i="1" s="1"/>
  <c r="AB79" i="1" s="1"/>
  <c r="Q79" i="1"/>
  <c r="BL78" i="1"/>
  <c r="BK78" i="1"/>
  <c r="Y78" i="1"/>
  <c r="Z78" i="1" s="1"/>
  <c r="AB78" i="1" s="1"/>
  <c r="BL77" i="1"/>
  <c r="BK77" i="1"/>
  <c r="Y77" i="1"/>
  <c r="Z77" i="1" s="1"/>
  <c r="AB77" i="1" s="1"/>
  <c r="BL76" i="1"/>
  <c r="BK76" i="1"/>
  <c r="Y76" i="1"/>
  <c r="Z76" i="1" s="1"/>
  <c r="AB76" i="1" s="1"/>
  <c r="R76" i="1"/>
  <c r="BL75" i="1"/>
  <c r="BK75" i="1"/>
  <c r="BH75" i="1"/>
  <c r="BG75" i="1"/>
  <c r="AQ75" i="1"/>
  <c r="AP75" i="1"/>
  <c r="Y75" i="1"/>
  <c r="Z75" i="1" s="1"/>
  <c r="AB75" i="1" s="1"/>
  <c r="BL74" i="1"/>
  <c r="BK74" i="1"/>
  <c r="BH74" i="1"/>
  <c r="BG74" i="1"/>
  <c r="AL74" i="1"/>
  <c r="Y74" i="1"/>
  <c r="Z74" i="1" s="1"/>
  <c r="AB74" i="1" s="1"/>
  <c r="BL73" i="1"/>
  <c r="BK73" i="1"/>
  <c r="Y73" i="1"/>
  <c r="Z73" i="1" s="1"/>
  <c r="AB73" i="1" s="1"/>
  <c r="BL72" i="1"/>
  <c r="BK72" i="1"/>
  <c r="Y72" i="1"/>
  <c r="Z72" i="1" s="1"/>
  <c r="AB72" i="1" s="1"/>
  <c r="BL71" i="1"/>
  <c r="BK71" i="1"/>
  <c r="Y71" i="1"/>
  <c r="Z71" i="1" s="1"/>
  <c r="AB71" i="1" s="1"/>
  <c r="BL70" i="1"/>
  <c r="BK70" i="1"/>
  <c r="Y70" i="1"/>
  <c r="Z70" i="1" s="1"/>
  <c r="AB70" i="1" s="1"/>
  <c r="BL69" i="1"/>
  <c r="BK69" i="1"/>
  <c r="Y69" i="1"/>
  <c r="Z69" i="1" s="1"/>
  <c r="AB69" i="1" s="1"/>
  <c r="Y68" i="1"/>
  <c r="Z68" i="1" s="1"/>
  <c r="AB68" i="1" s="1"/>
  <c r="BL67" i="1"/>
  <c r="BK67" i="1"/>
  <c r="BH67" i="1"/>
  <c r="BG67" i="1"/>
  <c r="AL67" i="1"/>
  <c r="Y67" i="1"/>
  <c r="Z67" i="1" s="1"/>
  <c r="AB67" i="1" s="1"/>
  <c r="BL66" i="1"/>
  <c r="BK66" i="1"/>
  <c r="BH66" i="1"/>
  <c r="BG66" i="1"/>
  <c r="AL66" i="1"/>
  <c r="Y66" i="1"/>
  <c r="Z66" i="1" s="1"/>
  <c r="AB66" i="1" s="1"/>
  <c r="BL65" i="1"/>
  <c r="BK65" i="1"/>
  <c r="BH65" i="1"/>
  <c r="BG65" i="1"/>
  <c r="AL65" i="1"/>
  <c r="Y65" i="1"/>
  <c r="Z65" i="1" s="1"/>
  <c r="AB65" i="1" s="1"/>
  <c r="BL64" i="1"/>
  <c r="BK64" i="1"/>
  <c r="BH64" i="1"/>
  <c r="BG64" i="1"/>
  <c r="AL64" i="1"/>
  <c r="Z64" i="1"/>
  <c r="AB64" i="1" s="1"/>
  <c r="BL63" i="1"/>
  <c r="BK63" i="1"/>
  <c r="BH63" i="1"/>
  <c r="BG63" i="1"/>
  <c r="AL63" i="1"/>
  <c r="Z63" i="1"/>
  <c r="AB63" i="1" s="1"/>
  <c r="BL62" i="1"/>
  <c r="BK62" i="1"/>
  <c r="BH62" i="1"/>
  <c r="BG62" i="1"/>
  <c r="AL62" i="1"/>
  <c r="Y62" i="1"/>
  <c r="Z62" i="1" s="1"/>
  <c r="AB62" i="1" s="1"/>
  <c r="BL61" i="1"/>
  <c r="BK61" i="1"/>
  <c r="BH61" i="1"/>
  <c r="BG61" i="1"/>
  <c r="AL61" i="1"/>
  <c r="Y61" i="1"/>
  <c r="Z61" i="1" s="1"/>
  <c r="AB61" i="1" s="1"/>
  <c r="T61" i="1"/>
  <c r="S61" i="1"/>
  <c r="R61" i="1"/>
  <c r="BL60" i="1"/>
  <c r="BK60" i="1"/>
  <c r="BH60" i="1"/>
  <c r="BG60" i="1"/>
  <c r="AL60" i="1"/>
  <c r="Y60" i="1"/>
  <c r="Z60" i="1" s="1"/>
  <c r="AB60" i="1" s="1"/>
  <c r="T60" i="1"/>
  <c r="S60" i="1"/>
  <c r="R60" i="1"/>
  <c r="BL59" i="1"/>
  <c r="BK59" i="1"/>
  <c r="BH59" i="1"/>
  <c r="BG59" i="1"/>
  <c r="AL59" i="1"/>
  <c r="Y59" i="1"/>
  <c r="Z59" i="1" s="1"/>
  <c r="AB59" i="1" s="1"/>
  <c r="T59" i="1"/>
  <c r="S59" i="1"/>
  <c r="R59" i="1"/>
  <c r="BL58" i="1"/>
  <c r="BK58" i="1"/>
  <c r="BH58" i="1"/>
  <c r="BG58" i="1"/>
  <c r="AL58" i="1"/>
  <c r="Y58" i="1"/>
  <c r="Z58" i="1" s="1"/>
  <c r="AB58" i="1" s="1"/>
  <c r="BL57" i="1"/>
  <c r="BK57" i="1"/>
  <c r="BH57" i="1"/>
  <c r="BG57" i="1"/>
  <c r="AL57" i="1"/>
  <c r="Y57" i="1"/>
  <c r="Z57" i="1" s="1"/>
  <c r="AB57" i="1" s="1"/>
  <c r="BL56" i="1"/>
  <c r="BK56" i="1"/>
  <c r="BH56" i="1"/>
  <c r="BG56" i="1"/>
  <c r="AL56" i="1"/>
  <c r="Y56" i="1"/>
  <c r="Z56" i="1" s="1"/>
  <c r="AB56" i="1" s="1"/>
  <c r="BL55" i="1"/>
  <c r="BK55" i="1"/>
  <c r="BH55" i="1"/>
  <c r="BG55" i="1"/>
  <c r="AL55" i="1"/>
  <c r="Y55" i="1"/>
  <c r="Z55" i="1" s="1"/>
  <c r="AB55" i="1" s="1"/>
  <c r="BL54" i="1"/>
  <c r="BK54" i="1"/>
  <c r="BH54" i="1"/>
  <c r="BG54" i="1"/>
  <c r="AQ54" i="1"/>
  <c r="AL54" i="1" s="1"/>
  <c r="Y54" i="1"/>
  <c r="Z54" i="1" s="1"/>
  <c r="AB54" i="1" s="1"/>
  <c r="BL53" i="1"/>
  <c r="BK53" i="1"/>
  <c r="BH53" i="1"/>
  <c r="BG53" i="1"/>
  <c r="AL53" i="1"/>
  <c r="Y53" i="1"/>
  <c r="Z53" i="1" s="1"/>
  <c r="AB53" i="1" s="1"/>
  <c r="BL52" i="1"/>
  <c r="BK52" i="1"/>
  <c r="BH52" i="1"/>
  <c r="BG52" i="1"/>
  <c r="AL52" i="1"/>
  <c r="Y52" i="1"/>
  <c r="Z52" i="1" s="1"/>
  <c r="AB52" i="1" s="1"/>
  <c r="BL51" i="1"/>
  <c r="BK51" i="1"/>
  <c r="BH51" i="1"/>
  <c r="BG51" i="1"/>
  <c r="AL51" i="1"/>
  <c r="Y51" i="1"/>
  <c r="Z51" i="1" s="1"/>
  <c r="AB51" i="1" s="1"/>
  <c r="BL50" i="1"/>
  <c r="BK50" i="1"/>
  <c r="BH50" i="1"/>
  <c r="BG50" i="1"/>
  <c r="AL50" i="1"/>
  <c r="Y50" i="1"/>
  <c r="Z50" i="1" s="1"/>
  <c r="AB50" i="1" s="1"/>
  <c r="BL49" i="1"/>
  <c r="BK49" i="1"/>
  <c r="BH49" i="1"/>
  <c r="BG49" i="1"/>
  <c r="AL49" i="1"/>
  <c r="Y49" i="1"/>
  <c r="Z49" i="1" s="1"/>
  <c r="AB49" i="1" s="1"/>
  <c r="BL48" i="1"/>
  <c r="BK48" i="1"/>
  <c r="BH48" i="1"/>
  <c r="BG48" i="1"/>
  <c r="AL48" i="1"/>
  <c r="Y48" i="1"/>
  <c r="Z48" i="1" s="1"/>
  <c r="AB48" i="1" s="1"/>
  <c r="BL47" i="1"/>
  <c r="BK47" i="1"/>
  <c r="BH47" i="1"/>
  <c r="BG47" i="1"/>
  <c r="AL47" i="1"/>
  <c r="Y47" i="1"/>
  <c r="Z47" i="1" s="1"/>
  <c r="AB47" i="1" s="1"/>
  <c r="BL46" i="1"/>
  <c r="BK46" i="1"/>
  <c r="BH46" i="1"/>
  <c r="BG46" i="1"/>
  <c r="AL46" i="1"/>
  <c r="Y46" i="1"/>
  <c r="Z46" i="1" s="1"/>
  <c r="AB46" i="1" s="1"/>
  <c r="BL45" i="1"/>
  <c r="BK45" i="1"/>
  <c r="BH45" i="1"/>
  <c r="BG45" i="1"/>
  <c r="AO45" i="1"/>
  <c r="AN45" i="1"/>
  <c r="Y45" i="1"/>
  <c r="Z45" i="1" s="1"/>
  <c r="AB45" i="1" s="1"/>
  <c r="BL44" i="1"/>
  <c r="BK44" i="1"/>
  <c r="BH44" i="1"/>
  <c r="BG44" i="1"/>
  <c r="AL44" i="1"/>
  <c r="Y44" i="1"/>
  <c r="Z44" i="1" s="1"/>
  <c r="AB44" i="1" s="1"/>
  <c r="BL43" i="1"/>
  <c r="BK43" i="1"/>
  <c r="BH43" i="1"/>
  <c r="BG43" i="1"/>
  <c r="AL43" i="1"/>
  <c r="Y43" i="1"/>
  <c r="Z43" i="1" s="1"/>
  <c r="AB43" i="1" s="1"/>
  <c r="BL42" i="1"/>
  <c r="BK42" i="1"/>
  <c r="BH42" i="1"/>
  <c r="BG42" i="1"/>
  <c r="AL42" i="1"/>
  <c r="Y42" i="1"/>
  <c r="Z42" i="1" s="1"/>
  <c r="AB42" i="1" s="1"/>
  <c r="BL41" i="1"/>
  <c r="BK41" i="1"/>
  <c r="BH41" i="1"/>
  <c r="BG41" i="1"/>
  <c r="AL41" i="1"/>
  <c r="Y41" i="1"/>
  <c r="Z41" i="1" s="1"/>
  <c r="AB41" i="1" s="1"/>
  <c r="BL40" i="1"/>
  <c r="BK40" i="1"/>
  <c r="BH40" i="1"/>
  <c r="BG40" i="1"/>
  <c r="AL40" i="1"/>
  <c r="Y40" i="1"/>
  <c r="Z40" i="1" s="1"/>
  <c r="AB40" i="1" s="1"/>
  <c r="BL39" i="1"/>
  <c r="BK39" i="1"/>
  <c r="BH39" i="1"/>
  <c r="BG39" i="1"/>
  <c r="AL39" i="1"/>
  <c r="Y39" i="1"/>
  <c r="Z39" i="1" s="1"/>
  <c r="AB39" i="1" s="1"/>
  <c r="BL38" i="1"/>
  <c r="BK38" i="1"/>
  <c r="BH38" i="1"/>
  <c r="BG38" i="1"/>
  <c r="AL38" i="1"/>
  <c r="Y38" i="1"/>
  <c r="Z38" i="1" s="1"/>
  <c r="AB38" i="1" s="1"/>
  <c r="BL37" i="1"/>
  <c r="BK37" i="1"/>
  <c r="BH37" i="1"/>
  <c r="BG37" i="1"/>
  <c r="AL37" i="1"/>
  <c r="Y37" i="1"/>
  <c r="Z37" i="1" s="1"/>
  <c r="AB37" i="1" s="1"/>
  <c r="BL36" i="1"/>
  <c r="BK36" i="1"/>
  <c r="AZ36" i="1"/>
  <c r="BH36" i="1" s="1"/>
  <c r="AP36" i="1"/>
  <c r="AO36" i="1"/>
  <c r="AN36" i="1"/>
  <c r="Y36" i="1"/>
  <c r="Z36" i="1" s="1"/>
  <c r="AB36" i="1" s="1"/>
  <c r="BL35" i="1"/>
  <c r="BK35" i="1"/>
  <c r="BB35" i="1"/>
  <c r="BA35" i="1"/>
  <c r="Y35" i="1"/>
  <c r="Z35" i="1" s="1"/>
  <c r="AB35" i="1" s="1"/>
  <c r="BL34" i="1"/>
  <c r="BK34" i="1"/>
  <c r="BH34" i="1"/>
  <c r="BG34" i="1"/>
  <c r="AQ34" i="1"/>
  <c r="AP34" i="1"/>
  <c r="AO34" i="1"/>
  <c r="Y34" i="1"/>
  <c r="Z34" i="1" s="1"/>
  <c r="AB34" i="1" s="1"/>
  <c r="BL33" i="1"/>
  <c r="BK33" i="1"/>
  <c r="BH33" i="1"/>
  <c r="BG33" i="1"/>
  <c r="AL33" i="1"/>
  <c r="Y33" i="1"/>
  <c r="Z33" i="1" s="1"/>
  <c r="AB33" i="1" s="1"/>
  <c r="Y32" i="1"/>
  <c r="Z32" i="1" s="1"/>
  <c r="AB32" i="1" s="1"/>
  <c r="BL31" i="1"/>
  <c r="BK31" i="1"/>
  <c r="BG31" i="1"/>
  <c r="AL31" i="1"/>
  <c r="Y31" i="1"/>
  <c r="Z31" i="1" s="1"/>
  <c r="AB31" i="1" s="1"/>
  <c r="BL30" i="1"/>
  <c r="BK30" i="1"/>
  <c r="BH30" i="1"/>
  <c r="BG30" i="1"/>
  <c r="AL30" i="1"/>
  <c r="Y30" i="1"/>
  <c r="Z30" i="1" s="1"/>
  <c r="AB30" i="1" s="1"/>
  <c r="BL29" i="1"/>
  <c r="BK29" i="1"/>
  <c r="BH29" i="1"/>
  <c r="BG29" i="1"/>
  <c r="Y29" i="1"/>
  <c r="Z29" i="1" s="1"/>
  <c r="AB29" i="1" s="1"/>
  <c r="BL28" i="1"/>
  <c r="BK28" i="1"/>
  <c r="BH28" i="1"/>
  <c r="BG28" i="1"/>
  <c r="AL28" i="1"/>
  <c r="BL27" i="1"/>
  <c r="BK27" i="1"/>
  <c r="BH27" i="1"/>
  <c r="BG27" i="1"/>
  <c r="AL27" i="1"/>
  <c r="BL26" i="1"/>
  <c r="BK26" i="1"/>
  <c r="BH26" i="1"/>
  <c r="BG26" i="1"/>
  <c r="AL26" i="1"/>
  <c r="BL25" i="1"/>
  <c r="BK25" i="1"/>
  <c r="BH25" i="1"/>
  <c r="BG25" i="1"/>
  <c r="AL25" i="1"/>
  <c r="BL24" i="1"/>
  <c r="BK24" i="1"/>
  <c r="BH24" i="1"/>
  <c r="BG24" i="1"/>
  <c r="AL24" i="1"/>
  <c r="BL23" i="1"/>
  <c r="BK23" i="1"/>
  <c r="BH23" i="1"/>
  <c r="BG23" i="1"/>
  <c r="AL23" i="1"/>
  <c r="BL22" i="1"/>
  <c r="BK22" i="1"/>
  <c r="BH22" i="1"/>
  <c r="BG22" i="1"/>
  <c r="AL22" i="1"/>
  <c r="Y22" i="1"/>
  <c r="Z22" i="1" s="1"/>
  <c r="AB22" i="1" s="1"/>
  <c r="BL21" i="1"/>
  <c r="BK21" i="1"/>
  <c r="BH21" i="1"/>
  <c r="BG21" i="1"/>
  <c r="AL21" i="1"/>
  <c r="AK21" i="1"/>
  <c r="Y21" i="1"/>
  <c r="Z21" i="1" s="1"/>
  <c r="AB21" i="1" s="1"/>
  <c r="BJ20" i="1"/>
  <c r="BL20" i="1" s="1"/>
  <c r="BH20" i="1"/>
  <c r="BG20" i="1"/>
  <c r="AL20" i="1"/>
  <c r="T20" i="1"/>
  <c r="S20" i="1"/>
  <c r="R20" i="1"/>
  <c r="Q20" i="1"/>
  <c r="BJ19" i="1"/>
  <c r="BL19" i="1" s="1"/>
  <c r="BH19" i="1"/>
  <c r="BG19" i="1"/>
  <c r="AL19" i="1"/>
  <c r="T19" i="1"/>
  <c r="S19" i="1"/>
  <c r="R19" i="1"/>
  <c r="Q19" i="1"/>
  <c r="BJ18" i="1"/>
  <c r="BK18" i="1" s="1"/>
  <c r="BH18" i="1"/>
  <c r="BG18" i="1"/>
  <c r="AL18" i="1"/>
  <c r="T18" i="1"/>
  <c r="S18" i="1"/>
  <c r="R18" i="1"/>
  <c r="Q18" i="1"/>
  <c r="BL17" i="1"/>
  <c r="BK17" i="1"/>
  <c r="BH17" i="1"/>
  <c r="AL17" i="1"/>
  <c r="BL16" i="1"/>
  <c r="BK16" i="1"/>
  <c r="BH16" i="1"/>
  <c r="BG16" i="1"/>
  <c r="AL16" i="1"/>
  <c r="BL15" i="1"/>
  <c r="BK15" i="1"/>
  <c r="BH15" i="1"/>
  <c r="BG15" i="1"/>
  <c r="AL15" i="1"/>
  <c r="Y15" i="1"/>
  <c r="Z15" i="1" s="1"/>
  <c r="AB15" i="1" s="1"/>
  <c r="BL14" i="1"/>
  <c r="BK14" i="1"/>
  <c r="BH14" i="1"/>
  <c r="BG14" i="1"/>
  <c r="AL14" i="1"/>
  <c r="BL13" i="1"/>
  <c r="BK13" i="1"/>
  <c r="BH13" i="1"/>
  <c r="BG13" i="1"/>
  <c r="AL13" i="1"/>
  <c r="BL12" i="1"/>
  <c r="BK12" i="1"/>
  <c r="BL11" i="1"/>
  <c r="BK11" i="1"/>
  <c r="BH11" i="1"/>
  <c r="BG11" i="1"/>
  <c r="AL11" i="1"/>
  <c r="BL10" i="1"/>
  <c r="BK10" i="1"/>
  <c r="BH10" i="1"/>
  <c r="BG10" i="1"/>
  <c r="AL10" i="1"/>
  <c r="BL9" i="1"/>
  <c r="BK9" i="1"/>
  <c r="BH9" i="1"/>
  <c r="BG9" i="1"/>
  <c r="AL9" i="1"/>
  <c r="BL8" i="1"/>
  <c r="BK8" i="1"/>
  <c r="BH8" i="1"/>
  <c r="BG8" i="1"/>
  <c r="AL8" i="1"/>
  <c r="BL7" i="1"/>
  <c r="BK7" i="1"/>
  <c r="BH7" i="1"/>
  <c r="BG7" i="1"/>
  <c r="AL7" i="1"/>
  <c r="BL6" i="1"/>
  <c r="BK6" i="1"/>
  <c r="BH6" i="1"/>
  <c r="BG6" i="1"/>
  <c r="AL6" i="1"/>
  <c r="BL5" i="1"/>
  <c r="BK5" i="1"/>
  <c r="BH5" i="1"/>
  <c r="BG5" i="1"/>
  <c r="AL5" i="1"/>
  <c r="BL4" i="1"/>
  <c r="BK4" i="1"/>
  <c r="BH4" i="1"/>
  <c r="BG4" i="1"/>
  <c r="AL4" i="1"/>
  <c r="BL3" i="1"/>
  <c r="BK3" i="1"/>
  <c r="BH3" i="1"/>
  <c r="BG3" i="1"/>
  <c r="AL3" i="1"/>
  <c r="BG35" i="1" l="1"/>
  <c r="BH35" i="1"/>
  <c r="AL45" i="1"/>
  <c r="AL36" i="1"/>
  <c r="AL75" i="1"/>
  <c r="AL34" i="1"/>
  <c r="BH552" i="1"/>
  <c r="BL18" i="1"/>
  <c r="BK19" i="1"/>
  <c r="BG552" i="1"/>
  <c r="BH550" i="1"/>
  <c r="BH540" i="1"/>
  <c r="BG36" i="1"/>
  <c r="BG550" i="1"/>
  <c r="BK20" i="1"/>
  <c r="BG540" i="1"/>
</calcChain>
</file>

<file path=xl/sharedStrings.xml><?xml version="1.0" encoding="utf-8"?>
<sst xmlns="http://schemas.openxmlformats.org/spreadsheetml/2006/main" count="6255" uniqueCount="2123">
  <si>
    <t>Date of Award</t>
  </si>
  <si>
    <t>Credit Year</t>
  </si>
  <si>
    <t>Status</t>
  </si>
  <si>
    <t>Project Name</t>
  </si>
  <si>
    <t>Project Address</t>
  </si>
  <si>
    <t>City</t>
  </si>
  <si>
    <t xml:space="preserve"> ZIP</t>
  </si>
  <si>
    <t>Lat</t>
  </si>
  <si>
    <t>Long</t>
  </si>
  <si>
    <t>Project County</t>
  </si>
  <si>
    <t>Credit Type</t>
  </si>
  <si>
    <t>Owners</t>
  </si>
  <si>
    <t>Type of Construction</t>
  </si>
  <si>
    <t>Population</t>
  </si>
  <si>
    <t>No. of Units</t>
  </si>
  <si>
    <t>No. of Buildings</t>
  </si>
  <si>
    <t>Credit Amount     (10 yr amt)</t>
  </si>
  <si>
    <t>Housing Credit Equity</t>
  </si>
  <si>
    <t>Tax Exempt Bonds Issued</t>
  </si>
  <si>
    <t>Tax Exempt Perm Loan Amount</t>
  </si>
  <si>
    <t>Rate</t>
  </si>
  <si>
    <t>Term</t>
  </si>
  <si>
    <t>Placed in Service (earliest date)</t>
  </si>
  <si>
    <t>1st Year Credit Period per 8609</t>
  </si>
  <si>
    <t>Date Used to Calc Comp Period</t>
  </si>
  <si>
    <t>End YR 15 (Dec 31)</t>
  </si>
  <si>
    <t>Ext Yrs</t>
  </si>
  <si>
    <t xml:space="preserve">End of Comp (Dec 31). </t>
  </si>
  <si>
    <t>Owner 1</t>
  </si>
  <si>
    <t>Owner 2</t>
  </si>
  <si>
    <t>Owner Adress</t>
  </si>
  <si>
    <t>ST</t>
  </si>
  <si>
    <t>Zip</t>
  </si>
  <si>
    <t>Email</t>
  </si>
  <si>
    <t>Phone</t>
  </si>
  <si>
    <t>Market Need # of Units</t>
  </si>
  <si>
    <t>Total # of units</t>
  </si>
  <si>
    <t>Unit Type: SRO</t>
  </si>
  <si>
    <t>Eff (0-bdrn)</t>
  </si>
  <si>
    <t>1-Bdrm</t>
  </si>
  <si>
    <t>2-Bdrm</t>
  </si>
  <si>
    <t>3-Bdrm</t>
  </si>
  <si>
    <t>4-Bdrm</t>
  </si>
  <si>
    <t>5-Bdrm</t>
  </si>
  <si>
    <t>Rowhouse</t>
  </si>
  <si>
    <t>Mkt</t>
  </si>
  <si>
    <t>Mgr</t>
  </si>
  <si>
    <t>Min Set Aside</t>
  </si>
  <si>
    <t>mkt</t>
  </si>
  <si>
    <t>mgr 60%</t>
  </si>
  <si>
    <t>total</t>
  </si>
  <si>
    <t>Ave Inc</t>
  </si>
  <si>
    <t>Total Project Costs</t>
  </si>
  <si>
    <t xml:space="preserve">Jobs per $1 million </t>
  </si>
  <si>
    <t>Wages Pd per $1 million</t>
  </si>
  <si>
    <t>FA</t>
  </si>
  <si>
    <t>Big Fork Senior (orig 2006 Crestview Apts resyn)</t>
  </si>
  <si>
    <t>103 Crestview Drive</t>
  </si>
  <si>
    <t>Big Fork</t>
  </si>
  <si>
    <t>Flathead</t>
  </si>
  <si>
    <t>For-Profit</t>
  </si>
  <si>
    <t>Acq/Rehab</t>
  </si>
  <si>
    <t>Family</t>
  </si>
  <si>
    <t>American Covenant Senior Housing</t>
  </si>
  <si>
    <t>Gerald Fritts</t>
  </si>
  <si>
    <t>234 Shelter Valley Dr</t>
  </si>
  <si>
    <t>Kalispell</t>
  </si>
  <si>
    <t>MT</t>
  </si>
  <si>
    <t>gmf@acshf.com</t>
  </si>
  <si>
    <t>40-60</t>
  </si>
  <si>
    <t>The Manor</t>
  </si>
  <si>
    <t>401 N 10th St</t>
  </si>
  <si>
    <t>Hamilton</t>
  </si>
  <si>
    <t>Ravalli</t>
  </si>
  <si>
    <t>Non-Profit</t>
  </si>
  <si>
    <t>Senior</t>
  </si>
  <si>
    <t>Sapphire Lutheran Homes</t>
  </si>
  <si>
    <t>Cole Harden</t>
  </si>
  <si>
    <t>501 N 10th Ave</t>
  </si>
  <si>
    <t>charden@stjohnsunited.org</t>
  </si>
  <si>
    <t>40/60</t>
  </si>
  <si>
    <t>Elmore Roberts</t>
  </si>
  <si>
    <t>6 6th Street S</t>
  </si>
  <si>
    <t>Great Falls</t>
  </si>
  <si>
    <t>Cascade</t>
  </si>
  <si>
    <t>Community Pres Prtnrs</t>
  </si>
  <si>
    <t>Ryan Kucich</t>
  </si>
  <si>
    <t>17782 Sky Park Circle</t>
  </si>
  <si>
    <t>Irvine</t>
  </si>
  <si>
    <t>CA</t>
  </si>
  <si>
    <t>rkucich@cpp-housing.com</t>
  </si>
  <si>
    <t>7th and Aspen 9%</t>
  </si>
  <si>
    <t>706 North 7th Ave</t>
  </si>
  <si>
    <t>Bozeman</t>
  </si>
  <si>
    <t>Gallatin</t>
  </si>
  <si>
    <t>New Const</t>
  </si>
  <si>
    <t>Boundary Dev and HRDC</t>
  </si>
  <si>
    <t>Joseph Walsh</t>
  </si>
  <si>
    <t>PO Box 6220</t>
  </si>
  <si>
    <t>joe@boundarydev.com</t>
  </si>
  <si>
    <t>7th and Aspen (4%)</t>
  </si>
  <si>
    <t>Twin Creek Apts 9</t>
  </si>
  <si>
    <t>349 Dorothy St</t>
  </si>
  <si>
    <t>Helena</t>
  </si>
  <si>
    <t>Lewis and Clark</t>
  </si>
  <si>
    <t>United Housing Ptnrs LLC</t>
  </si>
  <si>
    <t>Tyson O'Connell</t>
  </si>
  <si>
    <t>545 Blaine St</t>
  </si>
  <si>
    <t>Missoula</t>
  </si>
  <si>
    <t>tyson@uhousingpartners.com</t>
  </si>
  <si>
    <t>Twin Creek Apts 4</t>
  </si>
  <si>
    <t>Mitchell Court</t>
  </si>
  <si>
    <t>4154 Mitchell Ave</t>
  </si>
  <si>
    <t>Billings</t>
  </si>
  <si>
    <t>Yellowstone</t>
  </si>
  <si>
    <t>GL Development</t>
  </si>
  <si>
    <t>Gene Leuwer</t>
  </si>
  <si>
    <t>1625 E 6th Ave</t>
  </si>
  <si>
    <t>gleuwer1139@msn.com</t>
  </si>
  <si>
    <t>Riverstone Senior Res</t>
  </si>
  <si>
    <t>123 Skeels Ave</t>
  </si>
  <si>
    <t>Housing Solutions, LLC</t>
  </si>
  <si>
    <t>Alex Burkhalter</t>
  </si>
  <si>
    <t>PO Box 2099</t>
  </si>
  <si>
    <t>alex@housing-solutions.org</t>
  </si>
  <si>
    <t>Baxter Apartments</t>
  </si>
  <si>
    <t>2561 Trade Wind Ln</t>
  </si>
  <si>
    <t>DevCo Preservation</t>
  </si>
  <si>
    <t>Chase Huber</t>
  </si>
  <si>
    <t>10900 NE 8th St STE 1200</t>
  </si>
  <si>
    <t>Bellevue</t>
  </si>
  <si>
    <t>WA</t>
  </si>
  <si>
    <t>chase.huber@devcowa.com</t>
  </si>
  <si>
    <t>N 3rd Apts</t>
  </si>
  <si>
    <t>699 N 3rd Ave</t>
  </si>
  <si>
    <t>Lumberyard Apartments</t>
  </si>
  <si>
    <t>1525 North 14th Ave</t>
  </si>
  <si>
    <t>Reuter Walton Development LLC</t>
  </si>
  <si>
    <t>Paul Keenen</t>
  </si>
  <si>
    <t>4450 Excelsior Blvd STE 400</t>
  </si>
  <si>
    <t>St Louis Park</t>
  </si>
  <si>
    <t>MN</t>
  </si>
  <si>
    <t>pkeenan@reuterwalton.com</t>
  </si>
  <si>
    <t>Highland Manor 4% (orig 1993 resyn)</t>
  </si>
  <si>
    <t>1315-1325 Jefferson Ave</t>
  </si>
  <si>
    <t>Havre</t>
  </si>
  <si>
    <t>Hill</t>
  </si>
  <si>
    <t>For-profit</t>
  </si>
  <si>
    <t>Echo Enterprises LLC</t>
  </si>
  <si>
    <t>Beki Brandborg</t>
  </si>
  <si>
    <t>4835 Echo Dr</t>
  </si>
  <si>
    <t>beki@blackfoot.net</t>
  </si>
  <si>
    <t>Parkview Village - Vitus</t>
  </si>
  <si>
    <t>624 5th Ave NW</t>
  </si>
  <si>
    <t>Vitus Development IV LLC</t>
  </si>
  <si>
    <t>Samantha Cullen</t>
  </si>
  <si>
    <t>415 First Avenue North, STE 19240</t>
  </si>
  <si>
    <t xml:space="preserve">Seattle </t>
  </si>
  <si>
    <t>samantha.cullen@vitus.com</t>
  </si>
  <si>
    <t>(206) 832-1326</t>
  </si>
  <si>
    <t>Union Place</t>
  </si>
  <si>
    <t>2500 Great Northern Loop</t>
  </si>
  <si>
    <t>Sunshine</t>
  </si>
  <si>
    <t>600 13th Ave South</t>
  </si>
  <si>
    <t>Community Preservation Partners/Hampstead</t>
  </si>
  <si>
    <t>Karen Buckland</t>
  </si>
  <si>
    <t>kbuckland@cpp-housing.com</t>
  </si>
  <si>
    <t>Broadview Manor East</t>
  </si>
  <si>
    <t>720 &amp; 724 42A St North</t>
  </si>
  <si>
    <t>17783 Sky Park Circle</t>
  </si>
  <si>
    <t>Broadview Manor West</t>
  </si>
  <si>
    <t>710 &amp; 714 4th Ave NW</t>
  </si>
  <si>
    <t>17784 Sky Park Circle</t>
  </si>
  <si>
    <t>South Forty Apartments 4% (resynd orig 2007)</t>
  </si>
  <si>
    <t>769 Fallow Lane</t>
  </si>
  <si>
    <t xml:space="preserve">Yellowstone </t>
  </si>
  <si>
    <t>South Forty Partners LP</t>
  </si>
  <si>
    <t>Brian Moloney</t>
  </si>
  <si>
    <t>401 Wilshire Blvd Ste 1070</t>
  </si>
  <si>
    <t>Santa Monica</t>
  </si>
  <si>
    <t>bmoloney@lincolnavecap.com</t>
  </si>
  <si>
    <t>Active</t>
  </si>
  <si>
    <t>Comstock Apts (resyn Comstock I, II, II)</t>
  </si>
  <si>
    <t>777 Haggerty Lane</t>
  </si>
  <si>
    <t>ANHA LIHTC #2</t>
  </si>
  <si>
    <t>1 Circle Ln (scattered sites)</t>
  </si>
  <si>
    <t>Crow Agency</t>
  </si>
  <si>
    <t>Big Horn</t>
  </si>
  <si>
    <t>Tribal</t>
  </si>
  <si>
    <t>Apsaalooke Nation HA</t>
  </si>
  <si>
    <t>Miriam Smith</t>
  </si>
  <si>
    <t>PO Box 99</t>
  </si>
  <si>
    <t>m.smith@a-resource.com</t>
  </si>
  <si>
    <t>Carter Commons</t>
  </si>
  <si>
    <t>500 3rd St South</t>
  </si>
  <si>
    <t>Housing Solutions</t>
  </si>
  <si>
    <t>Cabinet Affordable Housing</t>
  </si>
  <si>
    <t>400 Commerce Way</t>
  </si>
  <si>
    <t>Libby</t>
  </si>
  <si>
    <t>Lincoln</t>
  </si>
  <si>
    <t>Amer Covenant / CAP NWMT</t>
  </si>
  <si>
    <t>Creekside Apartments 9%</t>
  </si>
  <si>
    <t>1405 E Broadway St</t>
  </si>
  <si>
    <t>Homeword Inc</t>
  </si>
  <si>
    <t>Heather McMillan</t>
  </si>
  <si>
    <t>1535 Liberty Ln STE 116A</t>
  </si>
  <si>
    <t>heather@homeword.org</t>
  </si>
  <si>
    <t>Creekside Apartments 4%</t>
  </si>
  <si>
    <t>Meadowlark Senior</t>
  </si>
  <si>
    <t>4000 Corto Road</t>
  </si>
  <si>
    <t>Butte</t>
  </si>
  <si>
    <t>Silver Bow</t>
  </si>
  <si>
    <t>Northwest Real Estate Cap</t>
  </si>
  <si>
    <t>Ben Casiano</t>
  </si>
  <si>
    <t>210 W Mallard Dr Ste A</t>
  </si>
  <si>
    <t>Boise</t>
  </si>
  <si>
    <t>ID</t>
  </si>
  <si>
    <t>bcasiano@nwrecc.org</t>
  </si>
  <si>
    <t>Butte-Silver Bow</t>
  </si>
  <si>
    <t>Bridger Peaks Village</t>
  </si>
  <si>
    <t>1483 N 15th Ave</t>
  </si>
  <si>
    <t>Family/Elderly</t>
  </si>
  <si>
    <t>Bridger Peaks Apartments, LLC</t>
  </si>
  <si>
    <t>(425) 736-0580</t>
  </si>
  <si>
    <t>Spruce Grove-Laurel 4%</t>
  </si>
  <si>
    <t>712 8th Ave</t>
  </si>
  <si>
    <t>Laurel</t>
  </si>
  <si>
    <t>4799 Echo Dr</t>
  </si>
  <si>
    <t>AI</t>
  </si>
  <si>
    <t>Spruce Grove_Joliet 4%</t>
  </si>
  <si>
    <t>126 N Main</t>
  </si>
  <si>
    <t>Joliet</t>
  </si>
  <si>
    <t>Carbon</t>
  </si>
  <si>
    <t>4800 Echo Dr</t>
  </si>
  <si>
    <t>(406) 459-5332</t>
  </si>
  <si>
    <t>Crowley Flats (add'l credits see orig below)</t>
  </si>
  <si>
    <t>311 West Main St</t>
  </si>
  <si>
    <t>Lewistown</t>
  </si>
  <si>
    <t>Fergus</t>
  </si>
  <si>
    <t>Non-profit</t>
  </si>
  <si>
    <t>Homeword</t>
  </si>
  <si>
    <t>Heather McMilin</t>
  </si>
  <si>
    <t>1535 Liberty Ln Suite 116A</t>
  </si>
  <si>
    <t>4065324663 ext. 36</t>
  </si>
  <si>
    <t>Riverview Apts</t>
  </si>
  <si>
    <t>Lone Mountain Tr &amp; Jeep Tr</t>
  </si>
  <si>
    <t>Big Sky</t>
  </si>
  <si>
    <t>Blueline Development</t>
  </si>
  <si>
    <t>Jason Boal</t>
  </si>
  <si>
    <t>1004 South Ave W</t>
  </si>
  <si>
    <t>jason@bluelinedevelopment.com</t>
  </si>
  <si>
    <t>Junegrass Place 4%</t>
  </si>
  <si>
    <t>1079 N Meridian Rd</t>
  </si>
  <si>
    <t>GMD Dev/Homeword</t>
  </si>
  <si>
    <t>Steve Dymoke</t>
  </si>
  <si>
    <t>520 Pike St</t>
  </si>
  <si>
    <t>Seattle</t>
  </si>
  <si>
    <t>steve@gmddevelopment.com</t>
  </si>
  <si>
    <t>Junegrass Place 9%</t>
  </si>
  <si>
    <t>1083 N Meridian Rd</t>
  </si>
  <si>
    <t>Bicentennial Apts</t>
  </si>
  <si>
    <t>76 W Center St</t>
  </si>
  <si>
    <t>Dillon</t>
  </si>
  <si>
    <t>Beaverhead</t>
  </si>
  <si>
    <t>Dawson Holdings, Inc</t>
  </si>
  <si>
    <t>Tim Fluetsch</t>
  </si>
  <si>
    <t>7250 Redwood Blvd STE 214</t>
  </si>
  <si>
    <t>Novato</t>
  </si>
  <si>
    <t>tfluetsch@d-h-i.net</t>
  </si>
  <si>
    <t>Baatz Perm Supp Apts</t>
  </si>
  <si>
    <t>400 2nd Ave S</t>
  </si>
  <si>
    <t>Homeword / NWGF</t>
  </si>
  <si>
    <t>Misosula</t>
  </si>
  <si>
    <t>Tapestry Apts</t>
  </si>
  <si>
    <t>115 S 30th St</t>
  </si>
  <si>
    <t>CLDI Holdings</t>
  </si>
  <si>
    <t>Eric Basye</t>
  </si>
  <si>
    <t>PO Box 3381</t>
  </si>
  <si>
    <t>eric@cldibillings.org</t>
  </si>
  <si>
    <t>Castlebar 4%</t>
  </si>
  <si>
    <t>1201 N 25Th St</t>
  </si>
  <si>
    <t>Michael Volz</t>
  </si>
  <si>
    <t>michael.volz@devcowa.com</t>
  </si>
  <si>
    <t>Bitterroot Valley Apts (old Mtn View (1 of 2, 4% of 4/9)**Resyd</t>
  </si>
  <si>
    <t>300 Stonegate Dr</t>
  </si>
  <si>
    <t>Summitt Hsing Group</t>
  </si>
  <si>
    <t>Paul Capp</t>
  </si>
  <si>
    <t>283 West Front St #1</t>
  </si>
  <si>
    <t>paul@summithousinggroup.com</t>
  </si>
  <si>
    <t>Bitterroot Valley Apts (old Bitt Comm2 of 2, 4% of 4/9)**Resyd</t>
  </si>
  <si>
    <t>501 Welcome Way</t>
  </si>
  <si>
    <t>Darby</t>
  </si>
  <si>
    <t>Trinity 4%</t>
  </si>
  <si>
    <t xml:space="preserve">1645 Cooley St., 1370 N. Burns St., 1660 Stoddard St., 1325 S. Cowper St., 2200, 2210, 2220 Mullan Rd. </t>
  </si>
  <si>
    <t>59802/59808</t>
  </si>
  <si>
    <t>Homeword / Missoula HA / Blueline</t>
  </si>
  <si>
    <t>Andrea Davis / Nathan Richmond</t>
  </si>
  <si>
    <t>1535 Liberty Ln</t>
  </si>
  <si>
    <t>nate@bluelinedevelopment.com</t>
  </si>
  <si>
    <t>Villagio 4%</t>
  </si>
  <si>
    <t>1140 - 1180 Otis St</t>
  </si>
  <si>
    <t>Missoula Housing Authority / Blueline</t>
  </si>
  <si>
    <t>Lori Davidson / Nathan Richmond</t>
  </si>
  <si>
    <t>1235 34th St</t>
  </si>
  <si>
    <t>ldavidson@missoulahousing.org</t>
  </si>
  <si>
    <t>Boulevards Apts 4%</t>
  </si>
  <si>
    <t>6 W Babcock</t>
  </si>
  <si>
    <t>x</t>
  </si>
  <si>
    <t>Good Housing Ptrship / HRDC IX</t>
  </si>
  <si>
    <t>Geoff Anderson</t>
  </si>
  <si>
    <t>104 East Main St STE 104</t>
  </si>
  <si>
    <t>geoffanderson@goodhousingpartnership.com</t>
  </si>
  <si>
    <t>Darlinton Manor Apts 4%</t>
  </si>
  <si>
    <t>605 N 5th St</t>
  </si>
  <si>
    <t>Miles Building 4%</t>
  </si>
  <si>
    <t>107 South 2nd St</t>
  </si>
  <si>
    <t>Livingston</t>
  </si>
  <si>
    <t>Park</t>
  </si>
  <si>
    <t>Sherwood Apts 4%</t>
  </si>
  <si>
    <t>325 S Main St</t>
  </si>
  <si>
    <t>Crowley Flats( orig credits see add'l credits above)</t>
  </si>
  <si>
    <t>Jackson Court 9%</t>
  </si>
  <si>
    <t>510 Jackson St</t>
  </si>
  <si>
    <t>Anderson Consulting</t>
  </si>
  <si>
    <t>gleuwer1139 @msn.com / lr.anderson@outlook.com</t>
  </si>
  <si>
    <t>Creekside Commons</t>
  </si>
  <si>
    <t>120 Financial Dr</t>
  </si>
  <si>
    <t>MRM Unified Campus</t>
  </si>
  <si>
    <t>2822 Minnesota</t>
  </si>
  <si>
    <t>Rehab</t>
  </si>
  <si>
    <t>Montana Rescue Mission</t>
  </si>
  <si>
    <t>PO Box 3232</t>
  </si>
  <si>
    <t>mattl@billingslf.org</t>
  </si>
  <si>
    <t>Apsaalooke HA Homes I</t>
  </si>
  <si>
    <t>Apsaalooke National Housing Authority</t>
  </si>
  <si>
    <t>Laurel Depot</t>
  </si>
  <si>
    <t>202 8th Ave</t>
  </si>
  <si>
    <t>North Fork Developers</t>
  </si>
  <si>
    <t>gleuwer1139 @msn.com / andrew@northforkdevelopment.com</t>
  </si>
  <si>
    <t>Arrowleaf Park Apartments 4%</t>
  </si>
  <si>
    <t>1619 Tschache Ln</t>
  </si>
  <si>
    <t>GMD Development LLC</t>
  </si>
  <si>
    <t>HRDC IX</t>
  </si>
  <si>
    <t>520 Pike St STE 1010</t>
  </si>
  <si>
    <t>steve@gmddevelopment.com and tmenuez@thehrdc.org</t>
  </si>
  <si>
    <t>Perennial Park Apartments 4%</t>
  </si>
  <si>
    <t>1683 Tschache Ln</t>
  </si>
  <si>
    <t>Elderly</t>
  </si>
  <si>
    <t>Emporda 4%- Resyd Courtyard I &amp; II</t>
  </si>
  <si>
    <t>306 Courtyard Circle</t>
  </si>
  <si>
    <t>Corvallis</t>
  </si>
  <si>
    <t>Thomas Development</t>
  </si>
  <si>
    <t>Northwest Integrity Housing</t>
  </si>
  <si>
    <t xml:space="preserve">413 W Idaho ST Ste 200 </t>
  </si>
  <si>
    <t>tmannschreck@thomasdevelopment.com</t>
  </si>
  <si>
    <t>Ponderosa Acres 4%</t>
  </si>
  <si>
    <t>1301 Industrial Ave</t>
  </si>
  <si>
    <t>Hampstead</t>
  </si>
  <si>
    <t>Community Preservation Partners</t>
  </si>
  <si>
    <t>7514 Wisconsin Ave STE 350</t>
  </si>
  <si>
    <t>Bethesda</t>
  </si>
  <si>
    <t>MD</t>
  </si>
  <si>
    <t>jeff@hampstead.com</t>
  </si>
  <si>
    <t>Silver Bow 4%</t>
  </si>
  <si>
    <t>220 Curtis St</t>
  </si>
  <si>
    <t>Butte Affordable Housing</t>
  </si>
  <si>
    <t>rstordahl@buttehousing.org</t>
  </si>
  <si>
    <t>Rosalie Manor 4%</t>
  </si>
  <si>
    <t>50 W Broadway</t>
  </si>
  <si>
    <t>Leggat 4%</t>
  </si>
  <si>
    <t>1125 S Main St</t>
  </si>
  <si>
    <t>Elm Street 4%</t>
  </si>
  <si>
    <t>1500 Elm St</t>
  </si>
  <si>
    <t>Good Housing Partnership</t>
  </si>
  <si>
    <t>2020 Curtis St</t>
  </si>
  <si>
    <t>Burnt Fork Place</t>
  </si>
  <si>
    <t>67 Box Bird Lane</t>
  </si>
  <si>
    <t>Stevensville</t>
  </si>
  <si>
    <t>HRC - Missoula</t>
  </si>
  <si>
    <t>Jim Morton</t>
  </si>
  <si>
    <t>1801 South Higgins Ave</t>
  </si>
  <si>
    <t>jpm@hrcxi.org</t>
  </si>
  <si>
    <t>Homestead Lodge</t>
  </si>
  <si>
    <t>121 S West Ave</t>
  </si>
  <si>
    <t>Absarokee</t>
  </si>
  <si>
    <t>Stillwater</t>
  </si>
  <si>
    <t xml:space="preserve">Syringa Housing </t>
  </si>
  <si>
    <t>Dianne Hunt</t>
  </si>
  <si>
    <t>1277 Shoreline Lane</t>
  </si>
  <si>
    <t>dianne@syringaproperties.com</t>
  </si>
  <si>
    <t>Skyview</t>
  </si>
  <si>
    <t>2400 S 9th ST W</t>
  </si>
  <si>
    <t>Pioneer Meadows</t>
  </si>
  <si>
    <t>725 North Walnut Street</t>
  </si>
  <si>
    <t>The Housing Company</t>
  </si>
  <si>
    <t>Blake Jumper</t>
  </si>
  <si>
    <t>PO Box 6943</t>
  </si>
  <si>
    <t>blakej@ihfa.org</t>
  </si>
  <si>
    <t>Fire Tower Apts</t>
  </si>
  <si>
    <t>6 S Park Ave</t>
  </si>
  <si>
    <t>Wishcamper Dev Ptnrs</t>
  </si>
  <si>
    <t>131 S Higgins Ave STE P-1</t>
  </si>
  <si>
    <t>tyson.oconnell@wishrockgroup.com</t>
  </si>
  <si>
    <t>Timber Ridge Apts (9% of 4/9)</t>
  </si>
  <si>
    <t>2715 Tschache Ln (estimated)</t>
  </si>
  <si>
    <t>Rusty Snow</t>
  </si>
  <si>
    <t>rusty@summithousinggroup.com</t>
  </si>
  <si>
    <t>Cottonwood Creek (see orig credits 2018)</t>
  </si>
  <si>
    <t>787 Buckskin Dr</t>
  </si>
  <si>
    <t>Deer Lodge</t>
  </si>
  <si>
    <t>Powell</t>
  </si>
  <si>
    <t>General</t>
  </si>
  <si>
    <t>see orig credits below</t>
  </si>
  <si>
    <t>Alpenglow</t>
  </si>
  <si>
    <t>524 Edgewood Pl</t>
  </si>
  <si>
    <t>Whitefish</t>
  </si>
  <si>
    <t>Homeword, Inc.</t>
  </si>
  <si>
    <t>Heather McMilan</t>
  </si>
  <si>
    <t>Red Alder 4%</t>
  </si>
  <si>
    <t>2200 Henderson</t>
  </si>
  <si>
    <t>GL Development/RMDC</t>
  </si>
  <si>
    <t>lmogstad@rmdc.net</t>
  </si>
  <si>
    <t>Bluebunch Flats (see original credits 2018)</t>
  </si>
  <si>
    <t>504 S 13Th Street</t>
  </si>
  <si>
    <t>Bluebunch Flats LLLP</t>
  </si>
  <si>
    <t>Andrea Davis</t>
  </si>
  <si>
    <t>1535 Liberty Lane Ste 116A</t>
  </si>
  <si>
    <t>Missoula MT 59808</t>
  </si>
  <si>
    <t>Red Alder 9%</t>
  </si>
  <si>
    <t>RMDC &amp; GLD</t>
  </si>
  <si>
    <t>Liz Mogstad</t>
  </si>
  <si>
    <t>PO Box 1717</t>
  </si>
  <si>
    <t>Chapel Court</t>
  </si>
  <si>
    <t>3940 Rimrock Rd</t>
  </si>
  <si>
    <t xml:space="preserve">St John's Luth / CR Bldrs </t>
  </si>
  <si>
    <t>David Trost</t>
  </si>
  <si>
    <t>2429 Mission Way</t>
  </si>
  <si>
    <t>dtrost@sjlm.org</t>
  </si>
  <si>
    <t>Meadowlark Vista</t>
  </si>
  <si>
    <t>311 11Th Ave Nw</t>
  </si>
  <si>
    <t>Ronan</t>
  </si>
  <si>
    <t>Lake</t>
  </si>
  <si>
    <t>Lake Co CHDO and RCAC</t>
  </si>
  <si>
    <t>Jodie Paxton</t>
  </si>
  <si>
    <t>PO Box 146</t>
  </si>
  <si>
    <t>Housing@ronan.net</t>
  </si>
  <si>
    <t xml:space="preserve">Oakwood Village </t>
  </si>
  <si>
    <t>1915 1St St Ne</t>
  </si>
  <si>
    <t>Affiliated Developers</t>
  </si>
  <si>
    <t>Kirk Bruce</t>
  </si>
  <si>
    <t>PO Box 725378</t>
  </si>
  <si>
    <t>Berkley</t>
  </si>
  <si>
    <t>MI</t>
  </si>
  <si>
    <t>kirk@a-developers.com</t>
  </si>
  <si>
    <t>Roosevelt Villas (see orig credits 2017)</t>
  </si>
  <si>
    <t>123 &amp; 127 Edgar St Wp/22 &amp; 24 W 2Nd St Culbertson</t>
  </si>
  <si>
    <t>Wolf Point/Culbertson</t>
  </si>
  <si>
    <t xml:space="preserve">Roosevelt </t>
  </si>
  <si>
    <t xml:space="preserve">General </t>
  </si>
  <si>
    <t>Roosevelt Villas LLLP</t>
  </si>
  <si>
    <t>Helena MT 59602</t>
  </si>
  <si>
    <t>North Star (see orig credits 2016)</t>
  </si>
  <si>
    <t>1225 4Th Ave North</t>
  </si>
  <si>
    <t>Wolf Point</t>
  </si>
  <si>
    <t>Roosevelt</t>
  </si>
  <si>
    <t>North Star Apartments LLLP</t>
  </si>
  <si>
    <t>Starner Gardens 4%</t>
  </si>
  <si>
    <t>230 Starner Ln</t>
  </si>
  <si>
    <t>GMD Development / Homeword</t>
  </si>
  <si>
    <t>Greg Dunfield</t>
  </si>
  <si>
    <t>520 Pike Street Ste 1010</t>
  </si>
  <si>
    <t>Seattle WA 98110</t>
  </si>
  <si>
    <t>Cottonwood Creek (see add'l credits 2019)</t>
  </si>
  <si>
    <t>Copper Ridge 4%</t>
  </si>
  <si>
    <t>101 Elderberry Ln</t>
  </si>
  <si>
    <t>Thomas Development/Butte HA</t>
  </si>
  <si>
    <t>Tom Mannschreck/Revonda Strodahl</t>
  </si>
  <si>
    <t>208-343-8877 x202</t>
  </si>
  <si>
    <t>Meadows Senior</t>
  </si>
  <si>
    <t>603 Brassey Street</t>
  </si>
  <si>
    <t>Meadows LLC</t>
  </si>
  <si>
    <t>Ken Talle</t>
  </si>
  <si>
    <t>470 West 78th St Ste 260</t>
  </si>
  <si>
    <t>Chanhassen MN 55317</t>
  </si>
  <si>
    <t>Starner Gardens 9%</t>
  </si>
  <si>
    <t>Heights Senior 9% LLLP</t>
  </si>
  <si>
    <t>Courtyard Apartments</t>
  </si>
  <si>
    <t>1842 Airport Road</t>
  </si>
  <si>
    <t>Courtyard Associates MT LP</t>
  </si>
  <si>
    <t>Marney McCleary</t>
  </si>
  <si>
    <t>PO Box 8300</t>
  </si>
  <si>
    <t>Kalispell MT 59904</t>
  </si>
  <si>
    <t>Copper Ridge 9% (includes orig + add'L credit)</t>
  </si>
  <si>
    <t>119 Elderberry Lane</t>
  </si>
  <si>
    <t>Copper Ridge 9% LLC</t>
  </si>
  <si>
    <t>Bluebunch Flats (see add'l credits 2019)</t>
  </si>
  <si>
    <t>Freedoms Path (refreshed credits fr 2016)</t>
  </si>
  <si>
    <t>3687 Veterans Dr</t>
  </si>
  <si>
    <t>Ft Harrison (Helena)</t>
  </si>
  <si>
    <t>Ft. harrison Veterans Residences LP</t>
  </si>
  <si>
    <t>Donald Paxton</t>
  </si>
  <si>
    <t>3550 S. Tamiami Trail Suite 300</t>
  </si>
  <si>
    <t>Sarasota FL 34239</t>
  </si>
  <si>
    <t>Big Sky Manor resynd 4%</t>
  </si>
  <si>
    <t>110 2Nd Ave</t>
  </si>
  <si>
    <t>Big Sky Preservation LP</t>
  </si>
  <si>
    <t>Monfic Inc</t>
  </si>
  <si>
    <t>Rockcress 4%</t>
  </si>
  <si>
    <t>2108 23Rd St S (23 Rd St S &amp; 24Th Ave S)</t>
  </si>
  <si>
    <t xml:space="preserve">Cascade </t>
  </si>
  <si>
    <t>GMD Development LLC/NWGF</t>
  </si>
  <si>
    <t>Rockcress 9%</t>
  </si>
  <si>
    <t>MT Rockcress 9% LLLP</t>
  </si>
  <si>
    <t xml:space="preserve">Steve Dymoke/Neil Fortier </t>
  </si>
  <si>
    <t>520 Pike St, Suite 1010</t>
  </si>
  <si>
    <t>Blackfeet VI</t>
  </si>
  <si>
    <t>63 Heart Butte Rd</t>
  </si>
  <si>
    <t>Browning</t>
  </si>
  <si>
    <t>Glacier</t>
  </si>
  <si>
    <t>Blackfeet Housing Limited Partnership #6</t>
  </si>
  <si>
    <t xml:space="preserve">Chancy Kittson </t>
  </si>
  <si>
    <t>1200 SW Boundary, PO Box 449</t>
  </si>
  <si>
    <t>Browning MT 59417</t>
  </si>
  <si>
    <t>Polson Landing</t>
  </si>
  <si>
    <t>402 Ridgewater Dr</t>
  </si>
  <si>
    <t>Polson</t>
  </si>
  <si>
    <t xml:space="preserve">Lake </t>
  </si>
  <si>
    <t>Polson Landing LLLP</t>
  </si>
  <si>
    <t xml:space="preserve">Alex Burkhalter </t>
  </si>
  <si>
    <t>Missoula MT 59806</t>
  </si>
  <si>
    <t>Gateway Vista</t>
  </si>
  <si>
    <t>945 Wyoming Avenue</t>
  </si>
  <si>
    <t>YWCA Billings</t>
  </si>
  <si>
    <t>Merry Lee Olson</t>
  </si>
  <si>
    <t>909 Wyoming Ave</t>
  </si>
  <si>
    <t>Billings MT 59101</t>
  </si>
  <si>
    <t>Roosevelt Villas (see add'L credits 2018)</t>
  </si>
  <si>
    <t>same</t>
  </si>
  <si>
    <t>River Run Apartments 4%</t>
  </si>
  <si>
    <t>3416/3200 11Th Ave S; 429 56Th St S; 701 3Rd Ave Nw</t>
  </si>
  <si>
    <t>Wishcamper Dev Ptnrs/NWGF</t>
  </si>
  <si>
    <t>Valley Villas</t>
  </si>
  <si>
    <t>404, 410, 414 N 10Th Street</t>
  </si>
  <si>
    <t>Beki Glyde Brandborg</t>
  </si>
  <si>
    <t>Red Fox</t>
  </si>
  <si>
    <t>344 Sioux Lane</t>
  </si>
  <si>
    <t>Red Fox Apartments LLLP</t>
  </si>
  <si>
    <t>Lucy Brown</t>
  </si>
  <si>
    <t>2415 First Ave N</t>
  </si>
  <si>
    <t>North Star (see add'L credits 2018)</t>
  </si>
  <si>
    <t>Little Jon Rehab (resyndicated)</t>
  </si>
  <si>
    <t>1150 Grand Drive</t>
  </si>
  <si>
    <t>TBD</t>
  </si>
  <si>
    <t>Gregory Dunfield</t>
  </si>
  <si>
    <t>520 Pike St Suite 1010</t>
  </si>
  <si>
    <t>Seattle WA 98101</t>
  </si>
  <si>
    <t>Refreshed</t>
  </si>
  <si>
    <t>Freedoms Path (returned see 2018 refreshed credits)</t>
  </si>
  <si>
    <t>na</t>
  </si>
  <si>
    <t>Cascade Ridge II - Additional Allocation See 2015 Orig</t>
  </si>
  <si>
    <t>3001 15Th Ave S</t>
  </si>
  <si>
    <t>Eldery</t>
  </si>
  <si>
    <t>Cascade Ridge Phase II LLC</t>
  </si>
  <si>
    <t>Peter Gray</t>
  </si>
  <si>
    <t>2621 15th Ave S</t>
  </si>
  <si>
    <t>Great Falls 59405</t>
  </si>
  <si>
    <t xml:space="preserve">Big Sky Villas       </t>
  </si>
  <si>
    <t>204 West Jefferson</t>
  </si>
  <si>
    <t>Belgrade</t>
  </si>
  <si>
    <t>West Jefferson partners LLLP</t>
  </si>
  <si>
    <t>Heather Grenier</t>
  </si>
  <si>
    <t>32 S Tracy St</t>
  </si>
  <si>
    <t>Bozeman MT 59715</t>
  </si>
  <si>
    <t>Larkspur Commons 4%</t>
  </si>
  <si>
    <t>1241 North 12th Ave</t>
  </si>
  <si>
    <t>River Ridge</t>
  </si>
  <si>
    <t>2840 Santa Fe Court</t>
  </si>
  <si>
    <t>Elderly +55</t>
  </si>
  <si>
    <t>River Ridge Apartments LP</t>
  </si>
  <si>
    <t>Lori Davidson</t>
  </si>
  <si>
    <t>Missoula MT 59801</t>
  </si>
  <si>
    <t>Sweet Grass Commons</t>
  </si>
  <si>
    <t>1137 Montana St</t>
  </si>
  <si>
    <t>Homeword, Inc</t>
  </si>
  <si>
    <t>1535 Liberty Lane, Suite 116a</t>
  </si>
  <si>
    <t>Stoneridge Apartments</t>
  </si>
  <si>
    <t>2716 Turbulance Ln</t>
  </si>
  <si>
    <t>Stoneride Apartments LP</t>
  </si>
  <si>
    <t xml:space="preserve">Rusty Snow </t>
  </si>
  <si>
    <t xml:space="preserve">283 W. Front St Suite 1 </t>
  </si>
  <si>
    <t>Missoula MT 59802</t>
  </si>
  <si>
    <t>Guardian Apartments</t>
  </si>
  <si>
    <t>520 Logan St</t>
  </si>
  <si>
    <t>Berkley MI 48072</t>
  </si>
  <si>
    <t>Gallatin Forks</t>
  </si>
  <si>
    <t>402 W Main St</t>
  </si>
  <si>
    <t>Manhattan</t>
  </si>
  <si>
    <t>Gallatin Forks LP</t>
  </si>
  <si>
    <t>Taylor Hunt</t>
  </si>
  <si>
    <t xml:space="preserve">1277 Shoreline Lane </t>
  </si>
  <si>
    <t>Boise ID 83702</t>
  </si>
  <si>
    <t>Cascade Ridge Ii (See Add'L Credits In 2016)</t>
  </si>
  <si>
    <t>3001 15th Ave S</t>
  </si>
  <si>
    <t>Cascade Ridge Phase II, LLC</t>
  </si>
  <si>
    <t>Peter gray</t>
  </si>
  <si>
    <t>Great Falls MT 59405</t>
  </si>
  <si>
    <t>Antelope Court</t>
  </si>
  <si>
    <t>2465 5Th Ave</t>
  </si>
  <si>
    <t>HIll</t>
  </si>
  <si>
    <t>Antelope Court LP</t>
  </si>
  <si>
    <t>Karen Thomas</t>
  </si>
  <si>
    <t>4799 Echo Drive</t>
  </si>
  <si>
    <t>Chippewa Cree Homes</t>
  </si>
  <si>
    <t>21 Bunty Blvd (Agency &amp; Box Elder Scattered Site)</t>
  </si>
  <si>
    <t>Box Elder</t>
  </si>
  <si>
    <t>Chippewa Cree Housing LP 1</t>
  </si>
  <si>
    <t>Jason Belcourt</t>
  </si>
  <si>
    <t>RR 1 Box 544</t>
  </si>
  <si>
    <t>406-395-4370</t>
  </si>
  <si>
    <t>Cedar View</t>
  </si>
  <si>
    <t>543 S 3rd Ave W</t>
  </si>
  <si>
    <t>Malta</t>
  </si>
  <si>
    <t>Phillips</t>
  </si>
  <si>
    <t>MT Preservation Cedar LLLp</t>
  </si>
  <si>
    <t>1601 Second Ave Suite 1080</t>
  </si>
  <si>
    <t>206-745-3699</t>
  </si>
  <si>
    <t>Voyageur Apartments</t>
  </si>
  <si>
    <t>1630 Division Road</t>
  </si>
  <si>
    <t>Elderly +62</t>
  </si>
  <si>
    <t>Voyageur Apartments LP</t>
  </si>
  <si>
    <t>Dan Billmark</t>
  </si>
  <si>
    <t>2550 University Ave Ste 330N</t>
  </si>
  <si>
    <t>St. Paul</t>
  </si>
  <si>
    <t>651-645-7271</t>
  </si>
  <si>
    <t>Sunset Village</t>
  </si>
  <si>
    <t>1019 6th Street SW</t>
  </si>
  <si>
    <t>Sidney</t>
  </si>
  <si>
    <t>Richland</t>
  </si>
  <si>
    <t>Sunset Village LLLP</t>
  </si>
  <si>
    <t>Paul Groshart</t>
  </si>
  <si>
    <t>1032 6th Street SW</t>
  </si>
  <si>
    <t xml:space="preserve">Sidney </t>
  </si>
  <si>
    <t>406-433-1978</t>
  </si>
  <si>
    <t>Yellowstone Commons (Pearson Place)</t>
  </si>
  <si>
    <t>1917A North Merrill Avenue</t>
  </si>
  <si>
    <t>Glendive</t>
  </si>
  <si>
    <t>Dawson</t>
  </si>
  <si>
    <t>Pearson Place LP</t>
  </si>
  <si>
    <t>5014 Elk Hills Ct</t>
  </si>
  <si>
    <t xml:space="preserve">Missoula </t>
  </si>
  <si>
    <t>406-203-1558</t>
  </si>
  <si>
    <t>Apsaalooke Warrior</t>
  </si>
  <si>
    <t>1 Pretty Eagle Ave</t>
  </si>
  <si>
    <t>Apsaalooke Warrior Apartments, LLLP</t>
  </si>
  <si>
    <t>Karl Little Owl</t>
  </si>
  <si>
    <t>Po Box 99</t>
  </si>
  <si>
    <t>406-638-3715</t>
  </si>
  <si>
    <t>Aspen Place-Msla</t>
  </si>
  <si>
    <t>2500 Great Northern Ave</t>
  </si>
  <si>
    <t>Apsen Place LP</t>
  </si>
  <si>
    <t>1801 S Higgins Ave</t>
  </si>
  <si>
    <t>406-728-3710</t>
  </si>
  <si>
    <t>River Rock Residences</t>
  </si>
  <si>
    <t>810 Flat Rock Loop</t>
  </si>
  <si>
    <t>ROCK MOUNTAIN DEVELOPMENT COUNCIL</t>
  </si>
  <si>
    <t>GENE LEUWER</t>
  </si>
  <si>
    <t>HELENA</t>
  </si>
  <si>
    <t>406-447-1680</t>
  </si>
  <si>
    <t>Soroptimist Village</t>
  </si>
  <si>
    <t>2400 13Th Ave. South</t>
  </si>
  <si>
    <t>Soroptimist Village Inc</t>
  </si>
  <si>
    <t>Christi Fisher</t>
  </si>
  <si>
    <t>PO Box 498</t>
  </si>
  <si>
    <t>406-868-7514</t>
  </si>
  <si>
    <t>Blackfeet Homes V</t>
  </si>
  <si>
    <t>6000 John Rd</t>
  </si>
  <si>
    <t>Blackfeet Housing LP #5</t>
  </si>
  <si>
    <t>Chancy Kittson</t>
  </si>
  <si>
    <t>1200 SW Boundary PO box 449</t>
  </si>
  <si>
    <t>406-338-5031</t>
  </si>
  <si>
    <t>Returned</t>
  </si>
  <si>
    <t>Wolf Point Village  returned credits</t>
  </si>
  <si>
    <t>Tbd Btwn 3Rd &amp; 5Th Streets</t>
  </si>
  <si>
    <t xml:space="preserve"> </t>
  </si>
  <si>
    <t>Wolf Point Village LLP</t>
  </si>
  <si>
    <t>Jonathan Reed</t>
  </si>
  <si>
    <t>636 Echo Lake</t>
  </si>
  <si>
    <t>Colorado Springs</t>
  </si>
  <si>
    <t>CO</t>
  </si>
  <si>
    <t>505-250-7570</t>
  </si>
  <si>
    <t>Fort Peck Sustainable Village</t>
  </si>
  <si>
    <t>1005 Park Ave (Near Here Scattered Site)</t>
  </si>
  <si>
    <t>Poplar</t>
  </si>
  <si>
    <t>Interated Solutions LP #1</t>
  </si>
  <si>
    <t>Thomas J. Anketell III</t>
  </si>
  <si>
    <t>PO Box 1582</t>
  </si>
  <si>
    <t xml:space="preserve">Poplar </t>
  </si>
  <si>
    <t>406-768-2335</t>
  </si>
  <si>
    <t>Hillview Apartments</t>
  </si>
  <si>
    <t>1280 10Th Street West</t>
  </si>
  <si>
    <t>MT Preservation HV, LLLP</t>
  </si>
  <si>
    <t>1601 Second Ave Ste 1080</t>
  </si>
  <si>
    <t>Buffalo Grass</t>
  </si>
  <si>
    <t>201 2nd Street NE</t>
  </si>
  <si>
    <t>Cut Bank</t>
  </si>
  <si>
    <t>Buffalo Grass Apts, LLLP</t>
  </si>
  <si>
    <t>Brad Elg</t>
  </si>
  <si>
    <t>210 W Mallard Dr, Ste A</t>
  </si>
  <si>
    <t>208-947-7050</t>
  </si>
  <si>
    <t>Depot Place</t>
  </si>
  <si>
    <t>219 Center Street</t>
  </si>
  <si>
    <t>Center Street LP</t>
  </si>
  <si>
    <t>Alex Burhalter</t>
  </si>
  <si>
    <t>619 SW Higgins Ave Ste E</t>
  </si>
  <si>
    <t>406-251-5076</t>
  </si>
  <si>
    <t>Parkview Village</t>
  </si>
  <si>
    <t>221 5Th Street</t>
  </si>
  <si>
    <t>Parview Village LLLP</t>
  </si>
  <si>
    <t>1032 6th St SW</t>
  </si>
  <si>
    <t>Mt</t>
  </si>
  <si>
    <t>406-433-1978 X3</t>
  </si>
  <si>
    <t>Sweet Grass Apartments</t>
  </si>
  <si>
    <t>724 St. Mary Ave.</t>
  </si>
  <si>
    <t>Shelby</t>
  </si>
  <si>
    <t>Toole</t>
  </si>
  <si>
    <t>Small</t>
  </si>
  <si>
    <t>Sweet grass Apts LP</t>
  </si>
  <si>
    <t>Haggerty Lane Apartments</t>
  </si>
  <si>
    <t>1992 Cottage</t>
  </si>
  <si>
    <t>Farmhouse Partners- Haggerty LP</t>
  </si>
  <si>
    <t>Dab Dabney</t>
  </si>
  <si>
    <t>2555 W. College Suite B</t>
  </si>
  <si>
    <t>406-586-1166</t>
  </si>
  <si>
    <t>Silver Bow Village 4%</t>
  </si>
  <si>
    <t>910 Evans Ave</t>
  </si>
  <si>
    <t xml:space="preserve">Silver Bow </t>
  </si>
  <si>
    <t>Rainbow House 4%</t>
  </si>
  <si>
    <t>626 13Th Ave</t>
  </si>
  <si>
    <t>Two Rivers Place</t>
  </si>
  <si>
    <t>343 Mt Hwy 135</t>
  </si>
  <si>
    <t>St Regis</t>
  </si>
  <si>
    <t>Mineral</t>
  </si>
  <si>
    <t>TWO RIVERS PLACE LP</t>
  </si>
  <si>
    <t>JIM MORTON</t>
  </si>
  <si>
    <t>1801 S HIGGINS</t>
  </si>
  <si>
    <t>MISSOULA</t>
  </si>
  <si>
    <t>Cascade Ridge Senior Living</t>
  </si>
  <si>
    <t>BENEFIS HEALTH SYSTEM/MOUNTAIN PLAINS EQUITY</t>
  </si>
  <si>
    <t>DOUGLAS DAVENPORT</t>
  </si>
  <si>
    <t>1101 26TH ST S</t>
  </si>
  <si>
    <t xml:space="preserve">GREAT FALLS </t>
  </si>
  <si>
    <t>406-455-4732</t>
  </si>
  <si>
    <t>The Palace Apartments</t>
  </si>
  <si>
    <t>149 W. Broadway</t>
  </si>
  <si>
    <t>MISSOULA HOUSING AUTHORITY</t>
  </si>
  <si>
    <t>LORI DAVIDSON</t>
  </si>
  <si>
    <t xml:space="preserve">1235 34TH ST </t>
  </si>
  <si>
    <t>406-549-4113 X105</t>
  </si>
  <si>
    <t>Fort Peck Homes II</t>
  </si>
  <si>
    <t>Poplar/Wolf Point</t>
  </si>
  <si>
    <t>FORT PECK HOMES 1</t>
  </si>
  <si>
    <t>IVA GRAINGER</t>
  </si>
  <si>
    <t>503 6th Ave E, PO Box 667</t>
  </si>
  <si>
    <t>POPLAR</t>
  </si>
  <si>
    <t>406-768-5176</t>
  </si>
  <si>
    <t>Cottage Park (Sentinal Village Apartments)</t>
  </si>
  <si>
    <t>1111 Mcdonald Ave</t>
  </si>
  <si>
    <t>Acq Rehab</t>
  </si>
  <si>
    <t>Morena Development</t>
  </si>
  <si>
    <t>John Grady</t>
  </si>
  <si>
    <t>1915 Morena Blvd</t>
  </si>
  <si>
    <t>San Diego</t>
  </si>
  <si>
    <t>619-276-6271</t>
  </si>
  <si>
    <t>Aspen Place-return credits</t>
  </si>
  <si>
    <t>Sparrow Development</t>
  </si>
  <si>
    <t>Tim German</t>
  </si>
  <si>
    <t>619 SW Higgins Ave Suite E</t>
  </si>
  <si>
    <t>Solstice</t>
  </si>
  <si>
    <t>1513 Liberty Lane</t>
  </si>
  <si>
    <t>homeWORD Inc</t>
  </si>
  <si>
    <t>127 N. Higgins #307</t>
  </si>
  <si>
    <t>406-532-4663</t>
  </si>
  <si>
    <t>Meadowlands Apartments</t>
  </si>
  <si>
    <t>4034 Elizabeth Warren</t>
  </si>
  <si>
    <t>City &amp; Co of Butte-Silver Bow</t>
  </si>
  <si>
    <t>Karen Byrnes</t>
  </si>
  <si>
    <t>155 W Granite St</t>
  </si>
  <si>
    <t>406-497-6220</t>
  </si>
  <si>
    <t>Buffalo Court</t>
  </si>
  <si>
    <t>2231 5Th Ave</t>
  </si>
  <si>
    <t>Dist IV HRDC</t>
  </si>
  <si>
    <t xml:space="preserve">2229 5th </t>
  </si>
  <si>
    <t>406-265-6743</t>
  </si>
  <si>
    <t>Lolo Vista Apartments</t>
  </si>
  <si>
    <t>11851 Lolo Vista Dr</t>
  </si>
  <si>
    <t>Lolo</t>
  </si>
  <si>
    <t>Summit Housing Group</t>
  </si>
  <si>
    <t>Nate Richmond</t>
  </si>
  <si>
    <t>283 W Front St Suite 1</t>
  </si>
  <si>
    <t>406-541-0999</t>
  </si>
  <si>
    <t>Big Boulder</t>
  </si>
  <si>
    <t>501 E 4Th Avenue</t>
  </si>
  <si>
    <t>Boulder</t>
  </si>
  <si>
    <t>Jefferson</t>
  </si>
  <si>
    <t>TCAP/Exchanage</t>
  </si>
  <si>
    <t>Meagher County Senior Center</t>
  </si>
  <si>
    <t>Beth Hunt</t>
  </si>
  <si>
    <t>101 1st Ave SE</t>
  </si>
  <si>
    <t>WHT SULPHUR SPRNG</t>
  </si>
  <si>
    <t>406-547-3651</t>
  </si>
  <si>
    <t>1535 Liberty Lane</t>
  </si>
  <si>
    <t>Exchange</t>
  </si>
  <si>
    <t>non-profit</t>
  </si>
  <si>
    <t>Box 1717</t>
  </si>
  <si>
    <t>59624-1717</t>
  </si>
  <si>
    <t>Ouellette Place</t>
  </si>
  <si>
    <t>405 St Joseph Dr</t>
  </si>
  <si>
    <t>SOLSTICE DEVELOPMENT LP</t>
  </si>
  <si>
    <t>ANDREA DAVIS</t>
  </si>
  <si>
    <t>127 North Higgins Ave Ste 307</t>
  </si>
  <si>
    <t>406-532-5663</t>
  </si>
  <si>
    <t>Franklin School</t>
  </si>
  <si>
    <t>820 First Avenue Sw</t>
  </si>
  <si>
    <t>OUELLETTE PLACE LP</t>
  </si>
  <si>
    <t xml:space="preserve">406-532-4663 </t>
  </si>
  <si>
    <t>Mountain View Apartments - Butte</t>
  </si>
  <si>
    <t>202 Ohio; 241 Curtis</t>
  </si>
  <si>
    <t>Affiliated Developers &amp; Tamarack Property Mgmt Co</t>
  </si>
  <si>
    <t>Matthew C Wick</t>
  </si>
  <si>
    <t>20245 W 12 Mile Rd Ste 120</t>
  </si>
  <si>
    <t>Southfield</t>
  </si>
  <si>
    <t>248-721-2195</t>
  </si>
  <si>
    <t>Whitetail Run Apartments</t>
  </si>
  <si>
    <t>335 Sioux Lane</t>
  </si>
  <si>
    <t>TCAP</t>
  </si>
  <si>
    <t>Butte Addordable Housing nc</t>
  </si>
  <si>
    <t>Revonda Stordahl</t>
  </si>
  <si>
    <t>220 Curtis Street</t>
  </si>
  <si>
    <t>406-782-6461</t>
  </si>
  <si>
    <t>Spring Creek Apartments 2</t>
  </si>
  <si>
    <t>10 Apple Way Drive</t>
  </si>
  <si>
    <t>Exchange Partial</t>
  </si>
  <si>
    <t>Spring Creek Apts 2 LP</t>
  </si>
  <si>
    <t>TIM GERMAN</t>
  </si>
  <si>
    <t>619 SW Higgins, Suite E</t>
  </si>
  <si>
    <t>406-245-6391</t>
  </si>
  <si>
    <t>Superior Commons</t>
  </si>
  <si>
    <t>310 Second Ave E</t>
  </si>
  <si>
    <t>Superior</t>
  </si>
  <si>
    <t>Sparrow Development Group</t>
  </si>
  <si>
    <t>619 SW Higgins, Ave Ste E</t>
  </si>
  <si>
    <t>Treasure State Plaza Apartments 4%</t>
  </si>
  <si>
    <t>600 Liberty Street</t>
  </si>
  <si>
    <t>Dist XI Human Resource Council, Inc</t>
  </si>
  <si>
    <t>1801 South Higgins</t>
  </si>
  <si>
    <t>Glacier Manor Apartments 4%</t>
  </si>
  <si>
    <t>506 1St Ave W</t>
  </si>
  <si>
    <t>MONFRIC MANAGEMENT COMPANY</t>
  </si>
  <si>
    <t>JOHN GRADY</t>
  </si>
  <si>
    <t>1915 MORENA BOULEVARD</t>
  </si>
  <si>
    <t>SAN DIEGO</t>
  </si>
  <si>
    <t>619-941-2054</t>
  </si>
  <si>
    <t>Terminated</t>
  </si>
  <si>
    <t>Makoshika Estates (see orig credits 2007) (out of program)</t>
  </si>
  <si>
    <t>660 Grant</t>
  </si>
  <si>
    <t>Garden District</t>
  </si>
  <si>
    <t>119 S. Russell St</t>
  </si>
  <si>
    <t>Dawson Co Econimic Development Council</t>
  </si>
  <si>
    <t>Gene Buxel</t>
  </si>
  <si>
    <t>313 W. Valentine, PO Box 173</t>
  </si>
  <si>
    <t>GLENDIVE</t>
  </si>
  <si>
    <t>406-377-7792 FAX406-377-3762</t>
  </si>
  <si>
    <t>Mountain View Apartments III</t>
  </si>
  <si>
    <t>251 Stonegate Dr</t>
  </si>
  <si>
    <t>Missoula Housing Authority</t>
  </si>
  <si>
    <t>406-549-4113 FAX 406-549-6406</t>
  </si>
  <si>
    <t>Spring Creek Apartments</t>
  </si>
  <si>
    <t>MOUNTAIN VIEW III LP</t>
  </si>
  <si>
    <t>NATE RICHMOND</t>
  </si>
  <si>
    <t>238 W FRONT ST STE 1</t>
  </si>
  <si>
    <t>406-541-0999 FAX 406-541-0997</t>
  </si>
  <si>
    <t>Shoulderblade Complex</t>
  </si>
  <si>
    <t>St Rte 39 N. Of Lame Deer</t>
  </si>
  <si>
    <t>Lame Deer</t>
  </si>
  <si>
    <t>Rosebud</t>
  </si>
  <si>
    <t>SPRING CREEK I LP</t>
  </si>
  <si>
    <t>406-251-5076 FAX 406-541-4944</t>
  </si>
  <si>
    <t>Castle Mountain Apartments</t>
  </si>
  <si>
    <t>4Th Ave South</t>
  </si>
  <si>
    <t>White Sulphur Springs</t>
  </si>
  <si>
    <t>Meagher</t>
  </si>
  <si>
    <t>N CHEYENNE SHOULDERBLADE LP #1</t>
  </si>
  <si>
    <t>Lafe Haugen</t>
  </si>
  <si>
    <t>Hwy 39, PO Box 327</t>
  </si>
  <si>
    <t>LAME DEER</t>
  </si>
  <si>
    <t>406-477-6419 FAX 406-477-6229</t>
  </si>
  <si>
    <t>Ouellette Place returned credits</t>
  </si>
  <si>
    <t>Tba Fountain Terrace Subdivision</t>
  </si>
  <si>
    <t>New/Acq/Rehab</t>
  </si>
  <si>
    <t>Lewistown Community Development Corp</t>
  </si>
  <si>
    <t>Duane Ferdinand</t>
  </si>
  <si>
    <t>PO Box 716</t>
  </si>
  <si>
    <t>LEWISTOWN</t>
  </si>
  <si>
    <t>406-535-1775 FAX 406-538-3323</t>
  </si>
  <si>
    <t>resynd 2023</t>
  </si>
  <si>
    <t>South Forty Apartments 4%</t>
  </si>
  <si>
    <t>GREG DUNFIELD</t>
  </si>
  <si>
    <t>1700 7TH AVE STE 2075</t>
  </si>
  <si>
    <t>SEATTLE</t>
  </si>
  <si>
    <t>206-832-1308</t>
  </si>
  <si>
    <t>Fort Peck I</t>
  </si>
  <si>
    <t>Poplar, Brocton, Wolfpoint</t>
  </si>
  <si>
    <t>PO BOX 667/503 6TH AVE EAST</t>
  </si>
  <si>
    <t>Polson Meadows returned credits</t>
  </si>
  <si>
    <t>Hiway 53</t>
  </si>
  <si>
    <t>Cherry Landlake Properties, LLP</t>
  </si>
  <si>
    <t>Gehrand J. Bechard</t>
  </si>
  <si>
    <t>136 Tarrs Lane</t>
  </si>
  <si>
    <t>POLSON</t>
  </si>
  <si>
    <t>406-887-2303 Cell 406-471-5961</t>
  </si>
  <si>
    <t>Equinox</t>
  </si>
  <si>
    <t>601 N Russell</t>
  </si>
  <si>
    <t>HOMEWORD INC</t>
  </si>
  <si>
    <t>HEATHER MCMILIN</t>
  </si>
  <si>
    <t>127 N HIGGINS STE 307</t>
  </si>
  <si>
    <t>Oullette Place returned credits</t>
  </si>
  <si>
    <t>Eagles Manor II</t>
  </si>
  <si>
    <t>720 Washington St</t>
  </si>
  <si>
    <t>ROCKY MOUNTAIN DEVELOPMENT COUNCIL</t>
  </si>
  <si>
    <t>Makoshika Estates (see add'l credits 2008) (out of program)</t>
  </si>
  <si>
    <t>Sage Tower 4%</t>
  </si>
  <si>
    <t>115 North 24Th Street</t>
  </si>
  <si>
    <t>SAGE TOWER PARTNERS RLLP</t>
  </si>
  <si>
    <t>CHRIS DOWNS</t>
  </si>
  <si>
    <t>1732 WAZEE ST, SUITE 450</t>
  </si>
  <si>
    <t>DENVER</t>
  </si>
  <si>
    <t>303-832-4400</t>
  </si>
  <si>
    <t>Crestview Apts (resyn 2023)</t>
  </si>
  <si>
    <t>AMERICAN COVENANT SENIOR HOUSING</t>
  </si>
  <si>
    <t>PETER WASSERMAN</t>
  </si>
  <si>
    <t>4206 ZERMATT DRIVE</t>
  </si>
  <si>
    <t>SMYRNA</t>
  </si>
  <si>
    <t>GA</t>
  </si>
  <si>
    <t>404-924-6482</t>
  </si>
  <si>
    <t>Union Place II</t>
  </si>
  <si>
    <t>5014 ELK HILLS</t>
  </si>
  <si>
    <t>Eagles Manor III</t>
  </si>
  <si>
    <t>716 Washington Street</t>
  </si>
  <si>
    <t>PO BOX 1717</t>
  </si>
  <si>
    <t>Irvin Tract Rehab Project</t>
  </si>
  <si>
    <t>Scattered Site, Browning</t>
  </si>
  <si>
    <t>BLACKFEET HOUSING</t>
  </si>
  <si>
    <t>RAY WILSON</t>
  </si>
  <si>
    <t>PO BOX 449</t>
  </si>
  <si>
    <t>BROWNIG</t>
  </si>
  <si>
    <t>406-338-7942</t>
  </si>
  <si>
    <t>Fort Belknap Housing III</t>
  </si>
  <si>
    <t>Scattered Harlem 59526</t>
  </si>
  <si>
    <t>Fort Belknap</t>
  </si>
  <si>
    <t>Blaine</t>
  </si>
  <si>
    <t>FORT BELKNAP INDIAN COMMUNITY</t>
  </si>
  <si>
    <t>TRACEY KING, PRESIDENT</t>
  </si>
  <si>
    <t>RR1, BOX 66</t>
  </si>
  <si>
    <t>HARLEM</t>
  </si>
  <si>
    <t>406-353-2265</t>
  </si>
  <si>
    <t>Cornerstone Apartments</t>
  </si>
  <si>
    <t>310 North Jordon</t>
  </si>
  <si>
    <t>Miles City</t>
  </si>
  <si>
    <t>Custer</t>
  </si>
  <si>
    <t>Miles City Housing Authority</t>
  </si>
  <si>
    <t>Melissa Hartman</t>
  </si>
  <si>
    <t>310 NORTH JORDAN</t>
  </si>
  <si>
    <t>MILES CITY</t>
  </si>
  <si>
    <t>406-234-3433</t>
  </si>
  <si>
    <t>Southern Lights</t>
  </si>
  <si>
    <t>801 South 28Th Street</t>
  </si>
  <si>
    <t>homeWORD</t>
  </si>
  <si>
    <t>127 N. HIGGINS, #307</t>
  </si>
  <si>
    <t>Fraser Tower 4%</t>
  </si>
  <si>
    <t>715 South 28Th Street</t>
  </si>
  <si>
    <t>FRASER TOWER PARTNERS RLLP</t>
  </si>
  <si>
    <t>1743 WAZEE ST, SUITE 450</t>
  </si>
  <si>
    <t xml:space="preserve">2635 Tradewind Lane </t>
  </si>
  <si>
    <t>FARMHOUSE PARTNERS-BAXTER LP</t>
  </si>
  <si>
    <t>WILLIAM C DABNEY</t>
  </si>
  <si>
    <t>2555 W COLLEGE STE B</t>
  </si>
  <si>
    <t>BOZEMAN</t>
  </si>
  <si>
    <t>406-585-9808</t>
  </si>
  <si>
    <t>Mountain View Apartments II</t>
  </si>
  <si>
    <t>Stonegate Drive</t>
  </si>
  <si>
    <t>MOUNTAIN VIEW ASSOCIATES II LP</t>
  </si>
  <si>
    <t>Patrick Klier</t>
  </si>
  <si>
    <t>283 W FRONT ST STE 1</t>
  </si>
  <si>
    <t>Lincoln Springs - returned credits</t>
  </si>
  <si>
    <t>Lincoln Lane</t>
  </si>
  <si>
    <t>Community Development, Inc.</t>
  </si>
  <si>
    <t>Fred Free</t>
  </si>
  <si>
    <t>4110 EATON AVE #A</t>
  </si>
  <si>
    <t>CALDWELL</t>
  </si>
  <si>
    <t>83607-1780</t>
  </si>
  <si>
    <t>208-459-8522</t>
  </si>
  <si>
    <t>Old Holy Rosary Hospital Apartments - returned credits</t>
  </si>
  <si>
    <t>2101 Clark St</t>
  </si>
  <si>
    <t>210 SOUTH WINCHESTER</t>
  </si>
  <si>
    <t>Fort Belknap II Renovation Project</t>
  </si>
  <si>
    <t>Scattered, Harlem 59526</t>
  </si>
  <si>
    <t>RR 1 BOX 66</t>
  </si>
  <si>
    <t>406-353-2601</t>
  </si>
  <si>
    <t>North Country Estates</t>
  </si>
  <si>
    <t>Browing/Heart Butte</t>
  </si>
  <si>
    <t>Blackfeet Housing</t>
  </si>
  <si>
    <t>Ray Wilson</t>
  </si>
  <si>
    <t>BROWNING</t>
  </si>
  <si>
    <t>Rose Park Plaza 4%</t>
  </si>
  <si>
    <t>2325 Avenue C</t>
  </si>
  <si>
    <t>ROSE PARK PLAZA PARTNERS, LTD, RLLLP</t>
  </si>
  <si>
    <t>CHRISTOPHER F. DOWNS, PRESIDENT</t>
  </si>
  <si>
    <t>1743 WAZEE ST STE 450</t>
  </si>
  <si>
    <t>Wilder Apartments</t>
  </si>
  <si>
    <t>1600 Block Wilder</t>
  </si>
  <si>
    <t>HELENA HOUSING AUTHORITY</t>
  </si>
  <si>
    <t>COLLEEN MCCARTHY</t>
  </si>
  <si>
    <t>812 ABBEY ST</t>
  </si>
  <si>
    <t>406.442.7970  FAX.406-442-0574</t>
  </si>
  <si>
    <t>2500 Great Northern Avenue</t>
  </si>
  <si>
    <t>GNA ASSOCIATES, LP</t>
  </si>
  <si>
    <t>619 SW Higgins Ste D</t>
  </si>
  <si>
    <t>Maclay Commons</t>
  </si>
  <si>
    <t>Lots 1,2,3 Orchard Promenade</t>
  </si>
  <si>
    <t>MACLAY COMMONS ASSOCIATES LP</t>
  </si>
  <si>
    <t>1235 34TH ST</t>
  </si>
  <si>
    <t>Bridger Court Apts - returned credits</t>
  </si>
  <si>
    <t>Oak St &amp; Future 15Th</t>
  </si>
  <si>
    <t>Pattee Street - returned credits</t>
  </si>
  <si>
    <t>315 N Pattee Street</t>
  </si>
  <si>
    <t>small</t>
  </si>
  <si>
    <t>Felsman North &amp; East</t>
  </si>
  <si>
    <t>Old Hwy 93 &amp; Joe Dog Drive</t>
  </si>
  <si>
    <t>Pablo</t>
  </si>
  <si>
    <t>SALISH &amp; KOOTENAI HOUSING AUTHORITY</t>
  </si>
  <si>
    <t>JASON ADAMS</t>
  </si>
  <si>
    <t>PO BOX 38</t>
  </si>
  <si>
    <t>PABLO</t>
  </si>
  <si>
    <t>406-675-4495</t>
  </si>
  <si>
    <t>Orchard Garden</t>
  </si>
  <si>
    <t>218 S Grove</t>
  </si>
  <si>
    <t>ORCHARD GARDENS LP</t>
  </si>
  <si>
    <t>127 N HIGGINS # 307</t>
  </si>
  <si>
    <t>Bridger Apartments II</t>
  </si>
  <si>
    <t>2500 Block West College</t>
  </si>
  <si>
    <t>FARMHOUSE PARTNERS</t>
  </si>
  <si>
    <t>WILLIAM C DABNEY III</t>
  </si>
  <si>
    <t>Georgetown Commons</t>
  </si>
  <si>
    <t>215 E. Pennsylvania Ave</t>
  </si>
  <si>
    <t>Anaconda</t>
  </si>
  <si>
    <t>COMMUNITY DEVELOPMENT INC</t>
  </si>
  <si>
    <t>FRED CORNFORTH</t>
  </si>
  <si>
    <t>4110 EATON AVENUE, STE A</t>
  </si>
  <si>
    <t>Nicole Court - retuned credits</t>
  </si>
  <si>
    <t>Gov Lot1 , Parcel B, Cos 466881-Tfr</t>
  </si>
  <si>
    <t>ALEX BURKHALTER</t>
  </si>
  <si>
    <t>PO BOX 1030</t>
  </si>
  <si>
    <t>59806-1030</t>
  </si>
  <si>
    <t>406-548-8988</t>
  </si>
  <si>
    <t>Snowcrest Apartments</t>
  </si>
  <si>
    <t>124 Skihi Street</t>
  </si>
  <si>
    <t>SNOWCREST LIMITED PARTNERSHIP</t>
  </si>
  <si>
    <t>208-459-8522 FAX 208-459-9692</t>
  </si>
  <si>
    <t>1219/2003</t>
  </si>
  <si>
    <t>Acme (see orig 2002 credits)</t>
  </si>
  <si>
    <t>109 N Broadway</t>
  </si>
  <si>
    <t>HOMEWORD</t>
  </si>
  <si>
    <t>HEATHER MCMILAN/ ANDREA DAVIS</t>
  </si>
  <si>
    <t>127 N HIGGINS, STE 307</t>
  </si>
  <si>
    <t>Country Estates</t>
  </si>
  <si>
    <t>Scattered</t>
  </si>
  <si>
    <t>Browning &amp; Heart Butte</t>
  </si>
  <si>
    <t>tribal</t>
  </si>
  <si>
    <t>406-338-7942 FAX 406-338-3873</t>
  </si>
  <si>
    <t>1483 North 15Th Avenue</t>
  </si>
  <si>
    <t>non-prof/gen</t>
  </si>
  <si>
    <t>BRIDGER PEAKS VILLAGE ASSOC, LLP</t>
  </si>
  <si>
    <t>619 SW HIGGINS STE E</t>
  </si>
  <si>
    <t>406-251-5076 FAX 406-251-4941</t>
  </si>
  <si>
    <t>Eagles Manor I Penkay</t>
  </si>
  <si>
    <t>715 N. Fee Street</t>
  </si>
  <si>
    <t>EAGLE ROCK RESIDENCE, LP</t>
  </si>
  <si>
    <t>406-447-1680 FAX 406-447-1629</t>
  </si>
  <si>
    <t>resynd 2021</t>
  </si>
  <si>
    <t>Bitterroot Commons II (resyndicated 2021)</t>
  </si>
  <si>
    <t>601 &amp; 603 Welcome Way</t>
  </si>
  <si>
    <t>BITTERROOT COMMONS LP</t>
  </si>
  <si>
    <t>PATRICK KLIER</t>
  </si>
  <si>
    <t>Acme Hotel (see add'l 2003 credits)</t>
  </si>
  <si>
    <t>small proj</t>
  </si>
  <si>
    <t>HEATHER MCMILAN/ANDREA DAVIS</t>
  </si>
  <si>
    <t>Teakettle Vista Apartments II</t>
  </si>
  <si>
    <t>12Th Ave W At 12Th St W</t>
  </si>
  <si>
    <t>Columbia Falls</t>
  </si>
  <si>
    <t>TEAKETTLE VISTA II ASSOCIATES</t>
  </si>
  <si>
    <t>DOUGLAS RAUTHE</t>
  </si>
  <si>
    <t>PO BOX 8300</t>
  </si>
  <si>
    <t>KALISPELL</t>
  </si>
  <si>
    <t>406-752-6565 FAX 406-752-6582</t>
  </si>
  <si>
    <t>Hailey Apartments</t>
  </si>
  <si>
    <t>3602 Winter Lane</t>
  </si>
  <si>
    <t>WHITEFISH MOUNTAIN ASSOCIATES</t>
  </si>
  <si>
    <t>TODD &amp; MARY ANN PRESCOTT</t>
  </si>
  <si>
    <t>8585 WOODVINE DR #200</t>
  </si>
  <si>
    <t>HAYDEN</t>
  </si>
  <si>
    <t>208-772-0108 FAX 208-772-0178</t>
  </si>
  <si>
    <t>Pheasant Glen</t>
  </si>
  <si>
    <t>Ptarmigan Lane</t>
  </si>
  <si>
    <t>non profit</t>
  </si>
  <si>
    <t>PHEASANT GLEN LP</t>
  </si>
  <si>
    <t>Meadowood Apartments</t>
  </si>
  <si>
    <t>315 E Maryland Lane</t>
  </si>
  <si>
    <t>general</t>
  </si>
  <si>
    <t>MEADOWOOD APARTMENTS LP</t>
  </si>
  <si>
    <t>VICKI WESTRICK</t>
  </si>
  <si>
    <t>PO BOX 1529</t>
  </si>
  <si>
    <t>RED LODGE</t>
  </si>
  <si>
    <t>406-446-2380 FAX 406-446-3860</t>
  </si>
  <si>
    <t>Mountain Senior Apartments</t>
  </si>
  <si>
    <t>River Ranch Drive</t>
  </si>
  <si>
    <t>MOUNTAIN SENIORS LP</t>
  </si>
  <si>
    <t>TODD &amp; MARYANN PRESCOTT</t>
  </si>
  <si>
    <t>Mountain View Apartments (resyndicated 2021)</t>
  </si>
  <si>
    <t>Lot B-2-A On Providence</t>
  </si>
  <si>
    <t>MOUNTAIN VIEW ASSOCIATES LP</t>
  </si>
  <si>
    <t>283 W FRONT STE 1</t>
  </si>
  <si>
    <t>406-541-0999 FAX406-541-0997</t>
  </si>
  <si>
    <t>Sparrow Lane Homes, Phase II</t>
  </si>
  <si>
    <t>Sparrow Lane East Of Hwy 93</t>
  </si>
  <si>
    <t>SPARROW LANE ASSOCIATES II A MONTANA LP</t>
  </si>
  <si>
    <t>RON TUNING</t>
  </si>
  <si>
    <t>430 E STATE ST STE 100</t>
  </si>
  <si>
    <t>EAGLE</t>
  </si>
  <si>
    <t>208-461-0022 X3010</t>
  </si>
  <si>
    <t xml:space="preserve">Bridger Apts </t>
  </si>
  <si>
    <t>2517 W College Ave</t>
  </si>
  <si>
    <t>FARMHOUSE PARTNERS - COLLEGE LP</t>
  </si>
  <si>
    <t>WILLIAM C  DABNEY III</t>
  </si>
  <si>
    <t>2555 W COLLEGE ST #B</t>
  </si>
  <si>
    <t>406-585-9808 FAX 406-586-1166</t>
  </si>
  <si>
    <t>Turtle Lake Project</t>
  </si>
  <si>
    <t>Blacktail &amp; Whitetail Lanes</t>
  </si>
  <si>
    <t>S &amp; K LIMITED PARTNERSHIP #4</t>
  </si>
  <si>
    <t>406-675-4491 FAX 406-675-4495</t>
  </si>
  <si>
    <t>Bitterroot Commons I (resyndicated 2021)</t>
  </si>
  <si>
    <t>283 W FRONT STE #1</t>
  </si>
  <si>
    <t>406-541-0999 X2 FAX 406-541-0997</t>
  </si>
  <si>
    <t>Sunny Slope Vista Apartments</t>
  </si>
  <si>
    <t>820 11Th Street East</t>
  </si>
  <si>
    <t>POLSON SUNNY SLOPE VISTA ASSOCIATES</t>
  </si>
  <si>
    <t>P O BOX 8300</t>
  </si>
  <si>
    <t>resyd 2020</t>
  </si>
  <si>
    <t>Courtyards II @ Corvallis (resyn 2020 Emporda)</t>
  </si>
  <si>
    <t>Market Street</t>
  </si>
  <si>
    <t>PACIFIC DEVELOPMENT GROUP</t>
  </si>
  <si>
    <t>403 EAST STATE ST STE 100</t>
  </si>
  <si>
    <t xml:space="preserve">EAGLE </t>
  </si>
  <si>
    <t>208-461-0022   FAX 208-461-3267</t>
  </si>
  <si>
    <t>Sparrow Lane Phase I</t>
  </si>
  <si>
    <t>Sparrow Lane</t>
  </si>
  <si>
    <t>SPARROW LANE ASSOCIATES LP</t>
  </si>
  <si>
    <t>Gold Dust</t>
  </si>
  <si>
    <t>330 North 1St St West</t>
  </si>
  <si>
    <t>GOLD DUST LP</t>
  </si>
  <si>
    <t>406-531-4663</t>
  </si>
  <si>
    <t>Aspen Place II - Butte (Atherton II)</t>
  </si>
  <si>
    <t>4500 Continental Drive</t>
  </si>
  <si>
    <t>STEADFAST MANAGEMENT CO</t>
  </si>
  <si>
    <t>RODNEY EMERY</t>
  </si>
  <si>
    <t>4343 VON KARMAN AVE STE 300</t>
  </si>
  <si>
    <t>NEWPORT BEACH</t>
  </si>
  <si>
    <t>949-852-0700 X 1702</t>
  </si>
  <si>
    <t>Mountain Apartments II</t>
  </si>
  <si>
    <t>430 Colorado</t>
  </si>
  <si>
    <t>WHITEFISH MOUNTAIN ASSOCIATION LLC</t>
  </si>
  <si>
    <t xml:space="preserve">HAYDEN </t>
  </si>
  <si>
    <t>19/19/2001</t>
  </si>
  <si>
    <t>resynd 2020</t>
  </si>
  <si>
    <t>Courtyards I @ Corvallis (resynd 2020 Emporda)</t>
  </si>
  <si>
    <t>Market St</t>
  </si>
  <si>
    <t>PACIFIC DEVELOPERS GROUP</t>
  </si>
  <si>
    <t>208-461-0022  FAX 208-461-3267</t>
  </si>
  <si>
    <t>Castlebar Phase II (see resynd 2021)</t>
  </si>
  <si>
    <t>STEADFAST COMPANIES</t>
  </si>
  <si>
    <t>949-852-0700 X 1702  FAX 949-852-0143</t>
  </si>
  <si>
    <t>Miles Building 4% (resyndicated 2021)</t>
  </si>
  <si>
    <t>105-123 South 2Nd</t>
  </si>
  <si>
    <t>Livington</t>
  </si>
  <si>
    <t>MILES LP</t>
  </si>
  <si>
    <t>JEFFREY RUPP</t>
  </si>
  <si>
    <t>32 S TRACY AVE</t>
  </si>
  <si>
    <t>59715-4659</t>
  </si>
  <si>
    <t>406-587-4486 FAX 406-585-3538</t>
  </si>
  <si>
    <t>Centre Court (Second Ave)</t>
  </si>
  <si>
    <t>121 Second Ave West</t>
  </si>
  <si>
    <t>MONFRIC REALTY</t>
  </si>
  <si>
    <t>619-276-6271  FAX 619-275-1094</t>
  </si>
  <si>
    <t>South Flat Iron</t>
  </si>
  <si>
    <t>North Browning/ South Flat Iron</t>
  </si>
  <si>
    <t>BLACKFEET HOUSING LP #1</t>
  </si>
  <si>
    <t>Acre Lawn Apartments II</t>
  </si>
  <si>
    <t>11Th Ave Nw</t>
  </si>
  <si>
    <t>ACRE LAWN APARTMENTS II LP</t>
  </si>
  <si>
    <t>DAN LUEDTKE</t>
  </si>
  <si>
    <t>34951 CREEKSIDE LANE</t>
  </si>
  <si>
    <t>RONAN</t>
  </si>
  <si>
    <t>406-676-7653 FAX 406-676-7654</t>
  </si>
  <si>
    <t>Mountain  Apartments I</t>
  </si>
  <si>
    <t>Colorado Avenue</t>
  </si>
  <si>
    <t>WHITEWATER CREEK INC</t>
  </si>
  <si>
    <t>208-772-0108 fax 208-772-0178</t>
  </si>
  <si>
    <t>Acre Lawn Apartments I</t>
  </si>
  <si>
    <t>N/A</t>
  </si>
  <si>
    <t>ACRE LAWN APARTMENTS LLP</t>
  </si>
  <si>
    <t>406-676-7653 fax 406-676-7654</t>
  </si>
  <si>
    <t>Main Street Apartments (H&amp;G)</t>
  </si>
  <si>
    <t>407 Main St Sw</t>
  </si>
  <si>
    <t>MAIN STREET H &amp; G APARTMENTS LP</t>
  </si>
  <si>
    <t>JAN NIEMEYER</t>
  </si>
  <si>
    <t>PO BOX 146</t>
  </si>
  <si>
    <t>406-676-5900 fax 406-676-5902</t>
  </si>
  <si>
    <t>Comstock Apts Phase III</t>
  </si>
  <si>
    <t>FARMHOUSE PARTNERS-COMSTOCK III,LP</t>
  </si>
  <si>
    <t>406-585-9808 fax 406-586-1166</t>
  </si>
  <si>
    <t>Ptarmigan Residences</t>
  </si>
  <si>
    <t>3400 Ptarmigan Lane</t>
  </si>
  <si>
    <t>PTARMIGAN RESIDENCE LIMITED PARTNERSHIP</t>
  </si>
  <si>
    <t>406-447-1680 fax-406-447-1629</t>
  </si>
  <si>
    <t>Isaiah Housing - Koinonia</t>
  </si>
  <si>
    <t>South 34Th, 30Th ,31St St</t>
  </si>
  <si>
    <t>COMMUNITY LEADERSHIP DEVELOPMENT</t>
  </si>
  <si>
    <t>DAVE HAGSTROM</t>
  </si>
  <si>
    <t>PO BOX 3381</t>
  </si>
  <si>
    <t xml:space="preserve">BILLINGS </t>
  </si>
  <si>
    <t>406-256-3022 fax 406-256-3002</t>
  </si>
  <si>
    <t>Russell Square Apts</t>
  </si>
  <si>
    <t>34Th &amp; Russell</t>
  </si>
  <si>
    <t>RUSSELL SQUARE APARTMENTS LP</t>
  </si>
  <si>
    <t>406-549-4113 fax 406-549-6406</t>
  </si>
  <si>
    <t>Fort Belknap Southern #1</t>
  </si>
  <si>
    <t>Lots 13-17 &amp; Lots 7-12</t>
  </si>
  <si>
    <t>Hays</t>
  </si>
  <si>
    <t>FORT BELKNAP HOUSING AUTHORITY</t>
  </si>
  <si>
    <t>406-353-2205 fax 406-353-4975</t>
  </si>
  <si>
    <t>Fort Belknap I Agency</t>
  </si>
  <si>
    <t>1113-1123 Agency Way</t>
  </si>
  <si>
    <t>Green Meadow Manor Apts (see below)</t>
  </si>
  <si>
    <t>403 Idaho Ave</t>
  </si>
  <si>
    <t>NP-FP Ptrshp</t>
  </si>
  <si>
    <t>GREEN MEADOW HP/NWMHRI LP</t>
  </si>
  <si>
    <t>619-276-6271 FAX 619-375-1094</t>
  </si>
  <si>
    <t>Elmo Elder Homes</t>
  </si>
  <si>
    <t>Cemetery Rd</t>
  </si>
  <si>
    <t>Elmo</t>
  </si>
  <si>
    <t>SALISH &amp; KOOTENAI LIMITED PARTNERSHIP</t>
  </si>
  <si>
    <t>Farmhouse Apartments III (Gallatin Trails III)</t>
  </si>
  <si>
    <t>101 Jackrabbit Rd</t>
  </si>
  <si>
    <t>FARMHOUSE PARTNERS-BELGRADE III LP</t>
  </si>
  <si>
    <t>406-585-9808  fax 406-586-1166</t>
  </si>
  <si>
    <t>Sundridge Pointe (Valley View) 4%</t>
  </si>
  <si>
    <t>400 Liberty St</t>
  </si>
  <si>
    <t>VALLEY VIEW HP/NWMHRI LP</t>
  </si>
  <si>
    <t>Parkside Village Apts 4%</t>
  </si>
  <si>
    <t>3602 Stephens</t>
  </si>
  <si>
    <t>Pebblestone (Lavatta Villa) 4%</t>
  </si>
  <si>
    <t>34Th At Russell</t>
  </si>
  <si>
    <t>Darlinton Manor Apts** resyndicated 2021</t>
  </si>
  <si>
    <t>606 North Fifth</t>
  </si>
  <si>
    <t>DARLINTON MANOR HP/HRDC LP</t>
  </si>
  <si>
    <t>Columbia Villa Apts**</t>
  </si>
  <si>
    <t>700 7Th St West</t>
  </si>
  <si>
    <t>COLUMBIA CILLA HP/NWMHRI LP</t>
  </si>
  <si>
    <t>619-941-2054 FAX 619-275-1094</t>
  </si>
  <si>
    <t>Custer Villa Apartments</t>
  </si>
  <si>
    <t>210 Arrowhead Lane</t>
  </si>
  <si>
    <t>For Profit</t>
  </si>
  <si>
    <t>BIRCHWOOD PROPERTIES</t>
  </si>
  <si>
    <t>WYNN JURAN</t>
  </si>
  <si>
    <t>166 BAREFOOT CIRCLE</t>
  </si>
  <si>
    <t>BONITA SPRINGS</t>
  </si>
  <si>
    <t>FL</t>
  </si>
  <si>
    <t>Green Meadow Apts** (see above)</t>
  </si>
  <si>
    <t>403 Idaho St</t>
  </si>
  <si>
    <t>619-276-6271 fax 619-275-1094</t>
  </si>
  <si>
    <t>Big Sky Manor**</t>
  </si>
  <si>
    <t>110 Second Avenue West</t>
  </si>
  <si>
    <t>BIG SKY HP/NWMHRC LP</t>
  </si>
  <si>
    <t>619-276-6271 FAX 619-275-1094</t>
  </si>
  <si>
    <t>Central Court Village Ph II (done the same time as phase I)</t>
  </si>
  <si>
    <t>27Th &amp; St Johns</t>
  </si>
  <si>
    <t>SPARROW GROUP</t>
  </si>
  <si>
    <t>406-251-5076 fax-406-251-4941</t>
  </si>
  <si>
    <t>Lenox Flats</t>
  </si>
  <si>
    <t>300-306 W Broadway</t>
  </si>
  <si>
    <t>LENOX FLATS LP</t>
  </si>
  <si>
    <t>ANDREA DAVIS/ DIRECTOR</t>
  </si>
  <si>
    <t>127 NORTH HIGGINS STE 307</t>
  </si>
  <si>
    <t>406-532-4663  FAX 406-541-0239</t>
  </si>
  <si>
    <t>Teakettle Vista Apts I</t>
  </si>
  <si>
    <t>13Th Ave &amp; 12Th St</t>
  </si>
  <si>
    <t>COLUMBIA FALLS TEAKETTLE VISTA ASSOCIATION</t>
  </si>
  <si>
    <t>DOUG RAUTHE</t>
  </si>
  <si>
    <t>59904-8300</t>
  </si>
  <si>
    <t>406-752-6565 fax-406-752-6582</t>
  </si>
  <si>
    <t>St Ignatius-Maxwell Senior Apts</t>
  </si>
  <si>
    <t>228 North Main</t>
  </si>
  <si>
    <t>St Ignatius</t>
  </si>
  <si>
    <t>MAXWELL SENIOR APTS, LP</t>
  </si>
  <si>
    <t>406-676-5900 fax-406-676-5902</t>
  </si>
  <si>
    <t>Ronan-Maxwell Senior Apts</t>
  </si>
  <si>
    <t>422 1st St SW</t>
  </si>
  <si>
    <t>Westgate Senior Apts</t>
  </si>
  <si>
    <t>Corporate Drive</t>
  </si>
  <si>
    <t>WESTGATE SENIOR ASSOCIATES</t>
  </si>
  <si>
    <t>RICO BRAZIL</t>
  </si>
  <si>
    <t>430 STATE ST</t>
  </si>
  <si>
    <t>208-461-0022 fax-208-461-0033</t>
  </si>
  <si>
    <t>Arlee Elder Homes</t>
  </si>
  <si>
    <t>Po Box 38</t>
  </si>
  <si>
    <t>Arlee</t>
  </si>
  <si>
    <t>SALISH &amp; KOOTENAI LIMITED PARTNERSHIP 3</t>
  </si>
  <si>
    <t>406-675-4491X 1506 fax-406-675-4495</t>
  </si>
  <si>
    <t>Timberline Apts</t>
  </si>
  <si>
    <t>Montana St &amp; North  N St</t>
  </si>
  <si>
    <t>TIMBERLINE APARTMENTS LP</t>
  </si>
  <si>
    <t>CONNIE M BOSLEY</t>
  </si>
  <si>
    <t>1566 TERRA AVENUE</t>
  </si>
  <si>
    <t>SHERIDAN</t>
  </si>
  <si>
    <t>WY</t>
  </si>
  <si>
    <t>307-672-0407  fax-307-672-9294</t>
  </si>
  <si>
    <t>Central Court Village Ph I (done the same time as phase II)</t>
  </si>
  <si>
    <t>78 27Th St West</t>
  </si>
  <si>
    <t>CENTRAL COURT VILLAGE LP</t>
  </si>
  <si>
    <t xml:space="preserve">406-251-5076  </t>
  </si>
  <si>
    <t>Mountain View Apartments</t>
  </si>
  <si>
    <t>522 N Airport Rd</t>
  </si>
  <si>
    <t>Red Lodge</t>
  </si>
  <si>
    <t>MOUNTAIN VIEW APARTMENTS LP</t>
  </si>
  <si>
    <t>JUNE VALLE</t>
  </si>
  <si>
    <t>330 W VICTORIA ST</t>
  </si>
  <si>
    <t>GARDENA</t>
  </si>
  <si>
    <t>424-258-2852</t>
  </si>
  <si>
    <t>Cherry Orchard (20% Files And Phs)</t>
  </si>
  <si>
    <t>W Liberty (Lot 6 Liberty Vlg)</t>
  </si>
  <si>
    <t>KALISPELL MONTANA PARTNERS LP</t>
  </si>
  <si>
    <t>PETER GERRARD</t>
  </si>
  <si>
    <t>420 5TH AVE SOUTH</t>
  </si>
  <si>
    <t>LA CROSSE</t>
  </si>
  <si>
    <t>WI</t>
  </si>
  <si>
    <t>54602-1086</t>
  </si>
  <si>
    <t>608-782-4488 fax-608-782-4478</t>
  </si>
  <si>
    <t>Roadrunner Residence</t>
  </si>
  <si>
    <t>1071 &amp; 1075 Roadrunner Dr</t>
  </si>
  <si>
    <t>ROADRUNNER RESIDENCE LP</t>
  </si>
  <si>
    <t>812 ABBEY STREET</t>
  </si>
  <si>
    <t>406-442-7970 fax-406-442-0574</t>
  </si>
  <si>
    <t>Parkside Apts- Hamilton</t>
  </si>
  <si>
    <t>121 State St</t>
  </si>
  <si>
    <t>HAMILTON AFFORD HOUS PARTNERSHIP</t>
  </si>
  <si>
    <t>% DIST XI HRC/JIM MORTON</t>
  </si>
  <si>
    <t>406-728-3710 fax-406-728-7680</t>
  </si>
  <si>
    <t>Aspen Place I (Atherton I)</t>
  </si>
  <si>
    <t>STEADFAST MANAGEMENT CO., INC</t>
  </si>
  <si>
    <t>Comstock Apts II</t>
  </si>
  <si>
    <t>406-585-9808 fax-406-586-1166</t>
  </si>
  <si>
    <t>Resyn 2021</t>
  </si>
  <si>
    <t>Castlebar (see resynd 2021)</t>
  </si>
  <si>
    <t>RODNEY F EMERY</t>
  </si>
  <si>
    <t>949-852-0700 X1702  FAX 949-852-0143</t>
  </si>
  <si>
    <t>Westchester Square Duplex</t>
  </si>
  <si>
    <t>1454-1456 Westchester Sq W</t>
  </si>
  <si>
    <t>SCOTT SANDERS</t>
  </si>
  <si>
    <t>PO BOX 1591</t>
  </si>
  <si>
    <t>BILLINGS</t>
  </si>
  <si>
    <t>406-238-4830 fax-406-238-4817</t>
  </si>
  <si>
    <t>Comp Fulfilled</t>
  </si>
  <si>
    <t>Aspen Meadows (Qualified Contract)</t>
  </si>
  <si>
    <t>1062 Oak Street</t>
  </si>
  <si>
    <t>BOZEMAN LIMITED PARTNERS</t>
  </si>
  <si>
    <t>Big Sky Apts II</t>
  </si>
  <si>
    <t>11 Moose Ridge Rd</t>
  </si>
  <si>
    <t>Madison</t>
  </si>
  <si>
    <t>FARMHOUSE PARTNERS - BIG SKY LP</t>
  </si>
  <si>
    <t>2621 W COLLEGE STE D</t>
  </si>
  <si>
    <t>Autumn Run Apartments**</t>
  </si>
  <si>
    <t>4101 Central Avenue</t>
  </si>
  <si>
    <t>AUTUMN RUN APARTMENTS LP</t>
  </si>
  <si>
    <t>ROGER KUULA</t>
  </si>
  <si>
    <t>110 - 100TH AVE NE STE 550</t>
  </si>
  <si>
    <t>BELLEVUE</t>
  </si>
  <si>
    <t>425-455-2433 fax-425-637-1216</t>
  </si>
  <si>
    <t>Timberline Apartments</t>
  </si>
  <si>
    <t>1006 Cardinal Drive #205</t>
  </si>
  <si>
    <t>BELGRADE PARTNERS LP</t>
  </si>
  <si>
    <t>PAUL GERRARD</t>
  </si>
  <si>
    <t>420 5th AVE SOUTH</t>
  </si>
  <si>
    <t>608-782-4488 (608-782-4478 F)</t>
  </si>
  <si>
    <t>Fireweed Court</t>
  </si>
  <si>
    <t>1437&amp;1444 S First St West</t>
  </si>
  <si>
    <t>FIREWEED COURT LIMITED PARTNERSHIP</t>
  </si>
  <si>
    <t>HEATHER MCMILAN</t>
  </si>
  <si>
    <t>Big Sky Apts I</t>
  </si>
  <si>
    <t>585-9808 (585-1166 fax)</t>
  </si>
  <si>
    <t>Willow Court Apartments</t>
  </si>
  <si>
    <t>290 Skeels Avenue</t>
  </si>
  <si>
    <t>SPARROW HOUSING</t>
  </si>
  <si>
    <t>619 SW HIGGINS STE D</t>
  </si>
  <si>
    <t>406-251-5076 fax 406-251-3540</t>
  </si>
  <si>
    <t>Valley Villas II (resyndicated 2016)</t>
  </si>
  <si>
    <t>814 River St</t>
  </si>
  <si>
    <t>AMERICAN BUILDING COMPANY</t>
  </si>
  <si>
    <t>KERMIT MUELLER</t>
  </si>
  <si>
    <t>PO BOX 4545</t>
  </si>
  <si>
    <t>442-7178 (442-7187 fax)</t>
  </si>
  <si>
    <t>Homestead Lodge Apartments (resyndicated 2020)</t>
  </si>
  <si>
    <t>Weast Ave &amp; School St</t>
  </si>
  <si>
    <t xml:space="preserve">Stillwater </t>
  </si>
  <si>
    <t>RAISING MORE MONEY</t>
  </si>
  <si>
    <t>ALAN AXELROD</t>
  </si>
  <si>
    <t>2100 NORTH PACIFIC STREET</t>
  </si>
  <si>
    <t>206-709-9400 X102</t>
  </si>
  <si>
    <t>Creekside Apartments**</t>
  </si>
  <si>
    <t>1405 E Broadway</t>
  </si>
  <si>
    <t>INVESTORS CAPITAL GROUP</t>
  </si>
  <si>
    <t>MIKE CHRISTIAN</t>
  </si>
  <si>
    <t>3101 WESTERN AVE STE 450</t>
  </si>
  <si>
    <t>206-859-4606</t>
  </si>
  <si>
    <t>Felsman Addition (eventual homeownership)</t>
  </si>
  <si>
    <t>Nhn Old Hiway 93</t>
  </si>
  <si>
    <t>SALISH &amp; KOOTENAI  LP</t>
  </si>
  <si>
    <t>406-675-4491(406-675-4495F)</t>
  </si>
  <si>
    <t>Agape Housing</t>
  </si>
  <si>
    <t>Po Box 3381</t>
  </si>
  <si>
    <t>AGAPE HOUSING LP</t>
  </si>
  <si>
    <t>PO BOX 3381/109 1/2 S 32ND ST</t>
  </si>
  <si>
    <t>406-256-3002(406-256-2387F)</t>
  </si>
  <si>
    <t>Resyndicated</t>
  </si>
  <si>
    <t>River Ridge (resyndicated 2015)</t>
  </si>
  <si>
    <t xml:space="preserve">2840 Sante Fe Court </t>
  </si>
  <si>
    <t>BITTERROOT HOUSING LP</t>
  </si>
  <si>
    <t>949-852-0700 X1702</t>
  </si>
  <si>
    <t>Meadowlark Townhomes (out of program</t>
  </si>
  <si>
    <t>Harrison Avenue</t>
  </si>
  <si>
    <t>Chester</t>
  </si>
  <si>
    <t>Liberty</t>
  </si>
  <si>
    <t>BRIAN &amp; LINDA STUBBS</t>
  </si>
  <si>
    <t>PO BOX 43</t>
  </si>
  <si>
    <t>CHESTER</t>
  </si>
  <si>
    <t>406-759-5650(406-759-5496F)</t>
  </si>
  <si>
    <t>Hillcrest Apartments</t>
  </si>
  <si>
    <t>126 Ohio</t>
  </si>
  <si>
    <t>Chinook</t>
  </si>
  <si>
    <t>PGK ENTERPRISES</t>
  </si>
  <si>
    <t>RICHARD KING</t>
  </si>
  <si>
    <t>409 W ARTEMOS DR</t>
  </si>
  <si>
    <t>59803-1507</t>
  </si>
  <si>
    <t>406-728-7784 fax-406-543-2304</t>
  </si>
  <si>
    <t>Madison Apartments (out of program)</t>
  </si>
  <si>
    <t>Tract 4-A Madison Add</t>
  </si>
  <si>
    <t>West Yellowstone</t>
  </si>
  <si>
    <t>FARMHOUSE PARTNERS-WEST LP</t>
  </si>
  <si>
    <t>2555  W COLLEGE #B</t>
  </si>
  <si>
    <t>406-585-9808 (406-586-1166 F)</t>
  </si>
  <si>
    <t>Edgewood Apartments (now Brush Meadows II)</t>
  </si>
  <si>
    <t>Lake Elmo Rd</t>
  </si>
  <si>
    <t>EDGEWOOD HOSING, LLC</t>
  </si>
  <si>
    <t>SAM OLIVER</t>
  </si>
  <si>
    <t>131 SOUTH HIGGINS STE P-1</t>
  </si>
  <si>
    <t>406-728-3040</t>
  </si>
  <si>
    <t>Farmhouse Apts II Bldg 5&amp;6 (Gallatin Trails II)</t>
  </si>
  <si>
    <t>Belgrade.</t>
  </si>
  <si>
    <t>FARMHOUSE PARTNERS-BELGRADE LP</t>
  </si>
  <si>
    <t>Burlington Square</t>
  </si>
  <si>
    <t>2420 Burlington Suare</t>
  </si>
  <si>
    <t>SAH BURLINGTON SQUARE LI</t>
  </si>
  <si>
    <t>JODY ORLANDO</t>
  </si>
  <si>
    <t>6420 SW MACADAM AVE STE 100</t>
  </si>
  <si>
    <t>PORTLAND</t>
  </si>
  <si>
    <t>OR</t>
  </si>
  <si>
    <t>503-246-3303  FAX 949-777-8412</t>
  </si>
  <si>
    <t>Rangeview Apartments</t>
  </si>
  <si>
    <t>Rangeview Drive</t>
  </si>
  <si>
    <t>Hardin</t>
  </si>
  <si>
    <t>HARDIN PARTNERS LIMITED PTNR</t>
  </si>
  <si>
    <t>420 SOUTH FIFTH ST</t>
  </si>
  <si>
    <t>East Park Villas</t>
  </si>
  <si>
    <t>2615 Broadway</t>
  </si>
  <si>
    <t>406-442-7178 (406-442-7187 F)</t>
  </si>
  <si>
    <t>07-27-95</t>
  </si>
  <si>
    <t>Mountain View Gf /Sandstone Village</t>
  </si>
  <si>
    <t>2300 16Th Avenue South</t>
  </si>
  <si>
    <t>SANDSTONE VILLAGE LIMITED</t>
  </si>
  <si>
    <t>JIM DRISHINKSI</t>
  </si>
  <si>
    <t>PO BOX 2493</t>
  </si>
  <si>
    <t>GREAT FALLS</t>
  </si>
  <si>
    <t>406-761-0018</t>
  </si>
  <si>
    <t>Town Site (NHS) Apartments</t>
  </si>
  <si>
    <t>610/616-9Th,820 7Th,410/416-8Th Avenue South</t>
  </si>
  <si>
    <t>NHS APARTMENTS LP</t>
  </si>
  <si>
    <t>DAN HICKEY</t>
  </si>
  <si>
    <t>PO BOX 1496</t>
  </si>
  <si>
    <t>406-245-9998 fax-248-9399</t>
  </si>
  <si>
    <t>05-10-95</t>
  </si>
  <si>
    <t>Phillips Apartments</t>
  </si>
  <si>
    <t>1805 Phillips</t>
  </si>
  <si>
    <t>ALLEN LAND CO, LLC</t>
  </si>
  <si>
    <t>KENNETH W &amp; SUSAN K ALLEN</t>
  </si>
  <si>
    <t>2725 CONTOUR RD</t>
  </si>
  <si>
    <t>406-549-1337</t>
  </si>
  <si>
    <t>12-29-94</t>
  </si>
  <si>
    <t>Comstock Apartments</t>
  </si>
  <si>
    <t xml:space="preserve">777 Haggerty Lane </t>
  </si>
  <si>
    <t>FARMHOUSE PARTNERS -BOZEMAN LP</t>
  </si>
  <si>
    <t>Farmhouse Apartments I (Gallatin Trails I)</t>
  </si>
  <si>
    <t>Nwc Jackrabbit Rd @ Hwy 10</t>
  </si>
  <si>
    <t>12-15-94</t>
  </si>
  <si>
    <t>Coad III</t>
  </si>
  <si>
    <t>1250 1Th St</t>
  </si>
  <si>
    <t>GREGORY L NEMOFF</t>
  </si>
  <si>
    <t>825 COOPER</t>
  </si>
  <si>
    <t>406-542-0004</t>
  </si>
  <si>
    <t>Coad II</t>
  </si>
  <si>
    <t>514 River St</t>
  </si>
  <si>
    <t>Coad I</t>
  </si>
  <si>
    <t>708 River St</t>
  </si>
  <si>
    <t>12-28-94</t>
  </si>
  <si>
    <t>Livingston Village</t>
  </si>
  <si>
    <t>602 Robin Lane</t>
  </si>
  <si>
    <t>VILLAGE V LTD PARTNERSHIP</t>
  </si>
  <si>
    <t>GARY MACHACEK</t>
  </si>
  <si>
    <t>PO BOX 5452</t>
  </si>
  <si>
    <t>BOISE</t>
  </si>
  <si>
    <t>208-343-2919</t>
  </si>
  <si>
    <t>Big Timber Village</t>
  </si>
  <si>
    <t>8Th &amp; Hart</t>
  </si>
  <si>
    <t>Big Timber</t>
  </si>
  <si>
    <t>Sweet Grass</t>
  </si>
  <si>
    <t>208-343-2919  FAX 208.343.2296</t>
  </si>
  <si>
    <t>Hysham Village</t>
  </si>
  <si>
    <t>117 Division St</t>
  </si>
  <si>
    <t>Hysham</t>
  </si>
  <si>
    <t>Treasure</t>
  </si>
  <si>
    <t>Forsyth Village II</t>
  </si>
  <si>
    <t>2315 East Front</t>
  </si>
  <si>
    <t>Forsyth</t>
  </si>
  <si>
    <t>PO BPX 5452</t>
  </si>
  <si>
    <t>Forsyth Village I</t>
  </si>
  <si>
    <t>1855 East Main</t>
  </si>
  <si>
    <t>The Palace Hotel (resyndicated)</t>
  </si>
  <si>
    <t>123 W Broadway</t>
  </si>
  <si>
    <t>MHA HOLDINGS LLC</t>
  </si>
  <si>
    <t>406-549-4113 EXT: 105</t>
  </si>
  <si>
    <t>Fernwell Apartments</t>
  </si>
  <si>
    <t>20 4Th Avenue East</t>
  </si>
  <si>
    <t>ADM WHITE LLC</t>
  </si>
  <si>
    <t>DOUGLAS WHITE</t>
  </si>
  <si>
    <t>20 4TH AVE EAST</t>
  </si>
  <si>
    <t>406-257-5745</t>
  </si>
  <si>
    <t>8Th Avenue Apartments</t>
  </si>
  <si>
    <t>811 - 827 N 17Th Street</t>
  </si>
  <si>
    <t>8TH AVENUE APARTMENTS LP</t>
  </si>
  <si>
    <t>59103-1496</t>
  </si>
  <si>
    <t>406-245-9998</t>
  </si>
  <si>
    <t>Little Jon Apartments (resyndicated)</t>
  </si>
  <si>
    <t>1150-1156 Grand Avenue</t>
  </si>
  <si>
    <t>Bigfork</t>
  </si>
  <si>
    <t>BIG FORK ASSOCIATES</t>
  </si>
  <si>
    <t>MARTY FRANZ</t>
  </si>
  <si>
    <t>9323 N GOVERNMENT WAY PMB 248</t>
  </si>
  <si>
    <t>HAYDEN LAKE</t>
  </si>
  <si>
    <t>208-687-5461</t>
  </si>
  <si>
    <t>12-01-94</t>
  </si>
  <si>
    <t>Westwind Village</t>
  </si>
  <si>
    <t>486 Two Mile Drive</t>
  </si>
  <si>
    <t>WESTWIND VILLAGE MT LTD PARTNERSHIP</t>
  </si>
  <si>
    <t>EDWARD MACKAY</t>
  </si>
  <si>
    <t>PO BOX 6314</t>
  </si>
  <si>
    <t>AUBURN</t>
  </si>
  <si>
    <t>530-823-9250  FAX.530.823.2169</t>
  </si>
  <si>
    <t>12-29-93</t>
  </si>
  <si>
    <t>Shadow Mountain Apartments</t>
  </si>
  <si>
    <t>2525 Ferndale Lane</t>
  </si>
  <si>
    <t>SHADOW MOUNTAIN LLC</t>
  </si>
  <si>
    <t>CAL KUNKEL</t>
  </si>
  <si>
    <t>6238 GOLDEN EAGLE WAY</t>
  </si>
  <si>
    <t>406-655-4646</t>
  </si>
  <si>
    <t>36</t>
  </si>
  <si>
    <t>Westwood Apartments</t>
  </si>
  <si>
    <t>5Th Street &amp; Westwood</t>
  </si>
  <si>
    <t>CHRISTENSEN BUILDING CORP</t>
  </si>
  <si>
    <t>RONALD A CHRISTENSON</t>
  </si>
  <si>
    <t>12 S 6TH ST STE 715</t>
  </si>
  <si>
    <t>MINNEAPOLIS</t>
  </si>
  <si>
    <t>612-338-7173</t>
  </si>
  <si>
    <t>12</t>
  </si>
  <si>
    <t>12-22-93</t>
  </si>
  <si>
    <t>Butorac Rentals</t>
  </si>
  <si>
    <t>1914 Scott Street</t>
  </si>
  <si>
    <t>TOM &amp; DELAINE BUTORAC</t>
  </si>
  <si>
    <t>2605 MUIRFIELD COURT</t>
  </si>
  <si>
    <t>406-523-4237 fax-406-523-4317</t>
  </si>
  <si>
    <t>4</t>
  </si>
  <si>
    <t>12-28-93</t>
  </si>
  <si>
    <t>Highland Manor (resyndicated 2023)</t>
  </si>
  <si>
    <t xml:space="preserve">1325 Jefferson </t>
  </si>
  <si>
    <t>HIGHLAND MANOR II</t>
  </si>
  <si>
    <t>DONNA &amp; MELVIN SHULAND</t>
  </si>
  <si>
    <t>412 14TH ST W</t>
  </si>
  <si>
    <t>HAVRE</t>
  </si>
  <si>
    <t>406-265-6349</t>
  </si>
  <si>
    <t>16</t>
  </si>
  <si>
    <t>12-21-93</t>
  </si>
  <si>
    <t>J &amp; L Rental compliance fulfillled</t>
  </si>
  <si>
    <t>406 South First Street</t>
  </si>
  <si>
    <t>J &amp; L RENTAL</t>
  </si>
  <si>
    <t>LORI DAVIS</t>
  </si>
  <si>
    <t>BOX 1625</t>
  </si>
  <si>
    <t>406-860-2387</t>
  </si>
  <si>
    <t>1</t>
  </si>
  <si>
    <t>12-15-93</t>
  </si>
  <si>
    <t>Clyatt Rentals</t>
  </si>
  <si>
    <t>101 Pullman Court</t>
  </si>
  <si>
    <t>ANN  CLYATT</t>
  </si>
  <si>
    <t>6720 GHARRETT</t>
  </si>
  <si>
    <t>406-251-5544</t>
  </si>
  <si>
    <t>Meridian Pointe II</t>
  </si>
  <si>
    <t>1055 North Meridian</t>
  </si>
  <si>
    <t>MERIDIAN POINTE LLC</t>
  </si>
  <si>
    <t>406-248-2670</t>
  </si>
  <si>
    <t>12-30-92</t>
  </si>
  <si>
    <t>Brush Meadow Apartments I</t>
  </si>
  <si>
    <t>1203 Lake Elmo Road</t>
  </si>
  <si>
    <t>BRUSH MEADOW APARTMENTS LP</t>
  </si>
  <si>
    <t>CELL406-655-4646 , 406-248-2670</t>
  </si>
  <si>
    <t>12-29-92</t>
  </si>
  <si>
    <t>Milk River Group Home compliance fulfilled</t>
  </si>
  <si>
    <t>703 3Rd Avenue South</t>
  </si>
  <si>
    <t>Glasgow</t>
  </si>
  <si>
    <t>Valley</t>
  </si>
  <si>
    <t>Group</t>
  </si>
  <si>
    <t>MILK RIVER INC</t>
  </si>
  <si>
    <t>CONNIE WETHERN</t>
  </si>
  <si>
    <t>219 2ND AVE S</t>
  </si>
  <si>
    <t>GLASGOW</t>
  </si>
  <si>
    <t>406-228-8412</t>
  </si>
  <si>
    <t>6</t>
  </si>
  <si>
    <t>Fifth Street Apartments</t>
  </si>
  <si>
    <t>720 &amp; 724 Fifth Street</t>
  </si>
  <si>
    <t>FIFTH ST APTS LTD</t>
  </si>
  <si>
    <t>CONNIE BOSLEY</t>
  </si>
  <si>
    <t>566 TURNER LANE</t>
  </si>
  <si>
    <t>307-672-0407 fax-307-672-9294</t>
  </si>
  <si>
    <t>12-23-92</t>
  </si>
  <si>
    <t xml:space="preserve">Meridian Pointe I </t>
  </si>
  <si>
    <t>1055 N Meridian</t>
  </si>
  <si>
    <t>MERDIAN POINTE LLC</t>
  </si>
  <si>
    <t>48</t>
  </si>
  <si>
    <t>Deer Lodge Apartments</t>
  </si>
  <si>
    <t>700 Montana</t>
  </si>
  <si>
    <t>HOUSING DEVELOPMENT ASSOC</t>
  </si>
  <si>
    <t>406-248-9998</t>
  </si>
  <si>
    <t>24</t>
  </si>
  <si>
    <t>06-18-92</t>
  </si>
  <si>
    <t>Shiloh Glen Apartments</t>
  </si>
  <si>
    <t>740 Olympic Blvd</t>
  </si>
  <si>
    <t>MICHAEL CHRISTIAN</t>
  </si>
  <si>
    <t>06-29-92</t>
  </si>
  <si>
    <t>Wildflower Apartments</t>
  </si>
  <si>
    <t>1250 34Th Street</t>
  </si>
  <si>
    <t>ICG, LLC</t>
  </si>
  <si>
    <t>206-455-2433  Deborah Porter</t>
  </si>
  <si>
    <t>12-23-91</t>
  </si>
  <si>
    <t>Lake Apartments compliance fulfilled</t>
  </si>
  <si>
    <t>116 Main Street</t>
  </si>
  <si>
    <t>Medicine Lake</t>
  </si>
  <si>
    <t>Sheridan</t>
  </si>
  <si>
    <t>OLSEN JACOBS RENTAL</t>
  </si>
  <si>
    <t>CLINT JACOBS</t>
  </si>
  <si>
    <t>PO BOX 614</t>
  </si>
  <si>
    <t>CULBERTSON</t>
  </si>
  <si>
    <t>406-787-5865 wk 787-5382</t>
  </si>
  <si>
    <t>Winnett Apartments compliance fulfilled</t>
  </si>
  <si>
    <t>Ne Corner Of Main Street &amp; Leeper</t>
  </si>
  <si>
    <t>Winnett</t>
  </si>
  <si>
    <t>Petroleum</t>
  </si>
  <si>
    <t>406-248-9399</t>
  </si>
  <si>
    <t>12-18-91</t>
  </si>
  <si>
    <t>Stone Creek Apartments</t>
  </si>
  <si>
    <t>819,851,865,885,877,843,835 Ashtar</t>
  </si>
  <si>
    <t>WHITEFISH LIMITED</t>
  </si>
  <si>
    <t>SHIRLEE TIBBETS</t>
  </si>
  <si>
    <t>9425 PEACEFUL VALLEY RD</t>
  </si>
  <si>
    <t>COLORADO SPRINGS</t>
  </si>
  <si>
    <t>719-540-3790</t>
  </si>
  <si>
    <t>40</t>
  </si>
  <si>
    <t>Cut Bank Villas</t>
  </si>
  <si>
    <t>33 First Avenue Se</t>
  </si>
  <si>
    <t>Cutbank</t>
  </si>
  <si>
    <t>CUT BANK VILLAS</t>
  </si>
  <si>
    <t>406-442-7178</t>
  </si>
  <si>
    <t>Heights Centennial Apartments II</t>
  </si>
  <si>
    <t>1526 Lake Elmo Road</t>
  </si>
  <si>
    <t>HEIGHTS CENTENNIAL APARTMENTS II LTD PART</t>
  </si>
  <si>
    <t>406.245.9998  FAX406-248-9399</t>
  </si>
  <si>
    <t>9</t>
  </si>
  <si>
    <t>12-13-90</t>
  </si>
  <si>
    <t>Cherry Hill Village North</t>
  </si>
  <si>
    <t>1100-1500 Cherry Hill Court</t>
  </si>
  <si>
    <t>TIBBETTS &amp; COMPANY</t>
  </si>
  <si>
    <t>SHIRLEE TIBBETTS</t>
  </si>
  <si>
    <t>719-382-8558</t>
  </si>
  <si>
    <t>Burnt Fork Manor</t>
  </si>
  <si>
    <t>309,313 11Th Street</t>
  </si>
  <si>
    <t>HRC COTTAGES</t>
  </si>
  <si>
    <t>RUTH BURKE</t>
  </si>
  <si>
    <t>406-728-3710  FAX 406-728-3710</t>
  </si>
  <si>
    <t>12-21-90</t>
  </si>
  <si>
    <t>Heights Centennial Apartments I</t>
  </si>
  <si>
    <t>1512 Lake Elmo</t>
  </si>
  <si>
    <t>HEIGHTS CENTENNIAL APARTMENTS LTF PTNRSHP</t>
  </si>
  <si>
    <t>12-24-90</t>
  </si>
  <si>
    <t>Columbia Arms</t>
  </si>
  <si>
    <t>810 5Th Street W.</t>
  </si>
  <si>
    <t>SENIOR HOUSING PARTNERSHIP I</t>
  </si>
  <si>
    <t>JOHN FREEBORN</t>
  </si>
  <si>
    <t>5712 MALAGE PLACE</t>
  </si>
  <si>
    <t>LONG BEACH</t>
  </si>
  <si>
    <t>562-434-8431</t>
  </si>
  <si>
    <t>Kalispell Senior Apartments</t>
  </si>
  <si>
    <t>320 Two Mile Drive</t>
  </si>
  <si>
    <t>KALISPELL SENIOR</t>
  </si>
  <si>
    <t>EDWARD MACKEY</t>
  </si>
  <si>
    <t>530-823-9250</t>
  </si>
  <si>
    <t>12-26-89</t>
  </si>
  <si>
    <t>Mcdonald Rental  compliance fulfilled</t>
  </si>
  <si>
    <t>2340 Fairview</t>
  </si>
  <si>
    <t>WILLIAM J &amp; JUDITH D MCDONALD</t>
  </si>
  <si>
    <t>312 WESTVIEW DRIVE</t>
  </si>
  <si>
    <t>406-728-5066 fax-406-721-1186</t>
  </si>
  <si>
    <t>12-19-89</t>
  </si>
  <si>
    <t>Centennial Apartments  compliance fulfilled</t>
  </si>
  <si>
    <t>208 North 23Rd Street</t>
  </si>
  <si>
    <t>CENTENNIAL APARTMENTS LTD PARTNRSHP</t>
  </si>
  <si>
    <t>12-14-89</t>
  </si>
  <si>
    <t>Pattee Street Apartments  compliance fulfilled</t>
  </si>
  <si>
    <t>315 Pattee Street</t>
  </si>
  <si>
    <t>THOMAS &amp; ROSEMARY MOORE</t>
  </si>
  <si>
    <t>ROBERT &amp; MARY SKORNIAK</t>
  </si>
  <si>
    <t>13025 NE 10TH ST</t>
  </si>
  <si>
    <t>98005-2604</t>
  </si>
  <si>
    <t>406-721-4311 Manager, Judith Skornogoski</t>
  </si>
  <si>
    <t>Kennedy Rentals compliance fulfilled</t>
  </si>
  <si>
    <t>1123,1125 Central Avenue</t>
  </si>
  <si>
    <t>OLSON PROPERTIES LLC</t>
  </si>
  <si>
    <t>CHUCK &amp; PAULA OLSON</t>
  </si>
  <si>
    <t>214 4TH ST SOUTHWEST</t>
  </si>
  <si>
    <t>406-453-6166</t>
  </si>
  <si>
    <t>12-06-89</t>
  </si>
  <si>
    <t>Worstell Rentals compliance fulfilled</t>
  </si>
  <si>
    <t>112,114,116 5Th Street 509,511 First Avenue</t>
  </si>
  <si>
    <t>RUBY WORSTELL</t>
  </si>
  <si>
    <t>1165 17th ST</t>
  </si>
  <si>
    <t>406-265-2146</t>
  </si>
  <si>
    <t>10-23-89</t>
  </si>
  <si>
    <t>Laurel Apartments compliance fulfilled</t>
  </si>
  <si>
    <t>421 Yellowstone Avenue</t>
  </si>
  <si>
    <t>LAUREL APARTMENTS LP</t>
  </si>
  <si>
    <t>406-245-9998 fax-406-248-9399</t>
  </si>
  <si>
    <t>12-01-89</t>
  </si>
  <si>
    <t>Pioneer Apartments  compliance fulfilled</t>
  </si>
  <si>
    <t>201 Main</t>
  </si>
  <si>
    <t>Scoby</t>
  </si>
  <si>
    <t xml:space="preserve">Daniels </t>
  </si>
  <si>
    <t>PIONEER APTS LP</t>
  </si>
  <si>
    <t>WALTER WARE</t>
  </si>
  <si>
    <t>PO BOX 756</t>
  </si>
  <si>
    <t>SCOBEY</t>
  </si>
  <si>
    <t>59263-0756</t>
  </si>
  <si>
    <t>406-487-5070  fax  406-487-5170</t>
  </si>
  <si>
    <t>11-24-89</t>
  </si>
  <si>
    <t>Franklin School compliance fulfilled</t>
  </si>
  <si>
    <t>813 Second Avenue Sw</t>
  </si>
  <si>
    <t>BOSTON CAPITAL</t>
  </si>
  <si>
    <t>DAN ELDER</t>
  </si>
  <si>
    <t>165 ASPENWOOD DR</t>
  </si>
  <si>
    <t>MORELAND HILLS</t>
  </si>
  <si>
    <t>OH</t>
  </si>
  <si>
    <t>Management 509-946-4000 Bos.Cap.617-439-0072 X161</t>
  </si>
  <si>
    <t>11-30-88</t>
  </si>
  <si>
    <t>Hillside Apartments compliance fulfilled</t>
  </si>
  <si>
    <t>411 Central Avenue Units 1-9</t>
  </si>
  <si>
    <t>Plains</t>
  </si>
  <si>
    <t>Sanders</t>
  </si>
  <si>
    <t>EQUITY PROPERTY MANAGEMENT LTD</t>
  </si>
  <si>
    <t>JERRY HAMLIN</t>
  </si>
  <si>
    <t>900 N MONTANA STE A-4</t>
  </si>
  <si>
    <t>406-443-1340 fax-406-443-7666</t>
  </si>
  <si>
    <t>11-16-88</t>
  </si>
  <si>
    <t>Canyon Villas compliance fulfilled</t>
  </si>
  <si>
    <t>2201,2213 Choteau Street</t>
  </si>
  <si>
    <t>Fort Benton</t>
  </si>
  <si>
    <t>Chouteau</t>
  </si>
  <si>
    <t>CANYON VILLAS LTD PARTNERSHIP</t>
  </si>
  <si>
    <t>JOSEPH MUELLER</t>
  </si>
  <si>
    <t xml:space="preserve">HELENA </t>
  </si>
  <si>
    <t>406-622-5018</t>
  </si>
  <si>
    <t>10-17-88</t>
  </si>
  <si>
    <t>Cherry Hill Village compliance fulfilled</t>
  </si>
  <si>
    <t>100-1000 Cherry Hill Court</t>
  </si>
  <si>
    <t>POLSON II LIMITED</t>
  </si>
  <si>
    <t>08-03-88</t>
  </si>
  <si>
    <t>Heritage Apartments compliance fulfilled</t>
  </si>
  <si>
    <t>17 W Lamme</t>
  </si>
  <si>
    <t>FOUNDATION CAPITAL CORP</t>
  </si>
  <si>
    <t>RICHARD A KLEIN</t>
  </si>
  <si>
    <t>PO BOX 22006</t>
  </si>
  <si>
    <t>406-259-7870   Site Manager 586-8560</t>
  </si>
  <si>
    <t>07-15-88</t>
  </si>
  <si>
    <t>Worstell Apartments compliance fulfilled</t>
  </si>
  <si>
    <t>1423 7Th Avenue</t>
  </si>
  <si>
    <t>RUBY M WORSTELL</t>
  </si>
  <si>
    <t>12-29-87</t>
  </si>
  <si>
    <t>Elmore  Roberts Hotel compliance fulfilled</t>
  </si>
  <si>
    <t>520-526 Central Avenue</t>
  </si>
  <si>
    <t>OREGON-LANDMARK THREE, WHP HOLDINGS</t>
  </si>
  <si>
    <t>ROBERT BLAIR</t>
  </si>
  <si>
    <t>4936 RODMAN ST NW</t>
  </si>
  <si>
    <t xml:space="preserve">WASHINGTON </t>
  </si>
  <si>
    <t>DC</t>
  </si>
  <si>
    <t>202-364-0300</t>
  </si>
  <si>
    <t>620,622 First Avenue</t>
  </si>
  <si>
    <t>CAMERON &amp; RUBY WORSTELL</t>
  </si>
  <si>
    <t>406-252-2146</t>
  </si>
  <si>
    <t>1427 1/2 4Th Street</t>
  </si>
  <si>
    <t>Worstell Apts compliance fulfilled</t>
  </si>
  <si>
    <t>220, 222 11Th Street</t>
  </si>
  <si>
    <t>Morelli Rentals compliance fulfilled</t>
  </si>
  <si>
    <t>508,508 1/2 4Th Ave</t>
  </si>
  <si>
    <t>ROBERT &amp; BARBARA MORELLI</t>
  </si>
  <si>
    <t>950 BOULEVARD AVE</t>
  </si>
  <si>
    <t>406-265-6340</t>
  </si>
  <si>
    <t>South Forty compliance fulfilled</t>
  </si>
  <si>
    <t>PFI SOUTH FORTY LTD/ LENNAR AFFORDABLE</t>
  </si>
  <si>
    <t>CAROL BARNETT</t>
  </si>
  <si>
    <t>6420 SW MACADAM, SUITE 100</t>
  </si>
  <si>
    <t>503-892-4646 fax-503-892-3636</t>
  </si>
  <si>
    <t>No Award</t>
  </si>
  <si>
    <t>8Th Street West Apartments</t>
  </si>
  <si>
    <t>Tower Hill Apartments</t>
  </si>
  <si>
    <t xml:space="preserve">South Forty </t>
  </si>
  <si>
    <t xml:space="preserve">Warm Springs Apartments </t>
  </si>
  <si>
    <t>New Constr</t>
  </si>
  <si>
    <t>Coad 1</t>
  </si>
  <si>
    <t>Coad 2</t>
  </si>
  <si>
    <t>Coad 3</t>
  </si>
  <si>
    <t>Sandhills Park Apartments</t>
  </si>
  <si>
    <t>Nhs Apartments</t>
  </si>
  <si>
    <t xml:space="preserve">Spring Meadow Apartments </t>
  </si>
  <si>
    <t>Lake Elmo Apartments</t>
  </si>
  <si>
    <t>Lodgebuilder Subdivision</t>
  </si>
  <si>
    <t xml:space="preserve">Headwater Apartmetns </t>
  </si>
  <si>
    <t>Three Forks</t>
  </si>
  <si>
    <t>First Street Project</t>
  </si>
  <si>
    <t>Parkside Apartments</t>
  </si>
  <si>
    <t>Pine Ridge Apartments</t>
  </si>
  <si>
    <t xml:space="preserve">Beartooth Apartments </t>
  </si>
  <si>
    <t xml:space="preserve">The College Homes </t>
  </si>
  <si>
    <t>Central Court Village</t>
  </si>
  <si>
    <t>Vista Terrace At Marketplace</t>
  </si>
  <si>
    <t>St Andrews Apartments</t>
  </si>
  <si>
    <t>Russell Square Apartments</t>
  </si>
  <si>
    <t>Cottonwood Apartments</t>
  </si>
  <si>
    <t>Cheyenne Homes Phase Ii</t>
  </si>
  <si>
    <t>Mountain Apartments</t>
  </si>
  <si>
    <t xml:space="preserve">Pemberton Heights </t>
  </si>
  <si>
    <t>Acre Lawn Apartments</t>
  </si>
  <si>
    <t>Shoulder Blade Complex</t>
  </si>
  <si>
    <t>College Apartments Pase Iii</t>
  </si>
  <si>
    <t>Atherton Phase Ii</t>
  </si>
  <si>
    <t xml:space="preserve">Mountain Apartmetns </t>
  </si>
  <si>
    <t>Vista Terrace</t>
  </si>
  <si>
    <t xml:space="preserve">Billings </t>
  </si>
  <si>
    <t>Cottonwoods Apartments Phase Ii</t>
  </si>
  <si>
    <t>Antelope Terrace</t>
  </si>
  <si>
    <t xml:space="preserve">Boundary Street Acq/Rehabiliataion Project </t>
  </si>
  <si>
    <t xml:space="preserve">Snowcrest Apartments </t>
  </si>
  <si>
    <t>Chippewa Cree Homes I</t>
  </si>
  <si>
    <t>Georgetown Commons Project</t>
  </si>
  <si>
    <t xml:space="preserve">Big Boulder </t>
  </si>
  <si>
    <t>Providence Square Project</t>
  </si>
  <si>
    <t>Hathaway Court Apartments</t>
  </si>
  <si>
    <t>Wilder Avenue</t>
  </si>
  <si>
    <t>Snowcrest Ii Apartments</t>
  </si>
  <si>
    <t xml:space="preserve">The Taylor Meade Apartments </t>
  </si>
  <si>
    <t>Bitterroot Commons Iii</t>
  </si>
  <si>
    <t xml:space="preserve">Mountain View Ii Apartments </t>
  </si>
  <si>
    <t>Pemberton Park</t>
  </si>
  <si>
    <t>Nicole Court Phase Ii</t>
  </si>
  <si>
    <t>Union Place Ii</t>
  </si>
  <si>
    <t>Mission Mountain Manor</t>
  </si>
  <si>
    <t>Taylor Meade Apartments</t>
  </si>
  <si>
    <t>Legacy Square Project</t>
  </si>
  <si>
    <t>Ronan Senior Living Project</t>
  </si>
  <si>
    <t>Sage Tower Apartments</t>
  </si>
  <si>
    <t>Coachman Apartments</t>
  </si>
  <si>
    <t>Whitehall</t>
  </si>
  <si>
    <t xml:space="preserve">Spring Manor </t>
  </si>
  <si>
    <t xml:space="preserve">Plum Tree Apartments </t>
  </si>
  <si>
    <t>Chippewa Cree</t>
  </si>
  <si>
    <t>Hailey II Apartments</t>
  </si>
  <si>
    <t>Lincoln Springs</t>
  </si>
  <si>
    <t>Montrose Apartments</t>
  </si>
  <si>
    <t>Mountain View III</t>
  </si>
  <si>
    <t>Treasure Manor</t>
  </si>
  <si>
    <t>Fort Belknap Project - Harlem</t>
  </si>
  <si>
    <t>Harlem</t>
  </si>
  <si>
    <t>Fort Peck Project</t>
  </si>
  <si>
    <t>Pointe At Somers</t>
  </si>
  <si>
    <t>Mid Town Residence</t>
  </si>
  <si>
    <t>60-90</t>
  </si>
  <si>
    <t>Palace Apartments</t>
  </si>
  <si>
    <t>Aspen Place</t>
  </si>
  <si>
    <t>Hyalite Apartments</t>
  </si>
  <si>
    <t>Eagles Manor Apartments</t>
  </si>
  <si>
    <t>Element 54 - Withdrawn</t>
  </si>
  <si>
    <t>North Stone Residence</t>
  </si>
  <si>
    <t>The Haven Homes</t>
  </si>
  <si>
    <t xml:space="preserve">Stoneridge Apartments </t>
  </si>
  <si>
    <t>Deer Park Apartments</t>
  </si>
  <si>
    <t>Freedoms Path</t>
  </si>
  <si>
    <t>Red Fox Apartments</t>
  </si>
  <si>
    <t>Courtyards Apartments</t>
  </si>
  <si>
    <t>North Evergreen Village</t>
  </si>
  <si>
    <t>Clark Fork Apartments</t>
  </si>
  <si>
    <t>North Shore Residences</t>
  </si>
  <si>
    <t>Pearson Place</t>
  </si>
  <si>
    <t>Cascade Ridge Ii</t>
  </si>
  <si>
    <t>Sunset Village Apartments</t>
  </si>
  <si>
    <t>Voyager Ii</t>
  </si>
  <si>
    <t>River Ridge Apartments</t>
  </si>
  <si>
    <t>N Evergreen Village</t>
  </si>
  <si>
    <t>Stower Commons</t>
  </si>
  <si>
    <t>Big Sky Villas</t>
  </si>
  <si>
    <t>Immanuel Lutheran Aff Living</t>
  </si>
  <si>
    <t>Polson Senior</t>
  </si>
  <si>
    <t>Story Mill</t>
  </si>
  <si>
    <t>Noblehomestead</t>
  </si>
  <si>
    <t xml:space="preserve">Rose Park </t>
  </si>
  <si>
    <t>Blackfeet Vi</t>
  </si>
  <si>
    <t>Aspen Iii</t>
  </si>
  <si>
    <t>Timber Meadows</t>
  </si>
  <si>
    <t xml:space="preserve">Polson Landing </t>
  </si>
  <si>
    <t>Nicole Court</t>
  </si>
  <si>
    <t xml:space="preserve">Riverview Meadows </t>
  </si>
  <si>
    <t>Courtyard</t>
  </si>
  <si>
    <t xml:space="preserve">Sweetgrass Commons </t>
  </si>
  <si>
    <t>Trapper Peak</t>
  </si>
  <si>
    <t>Glasgow Apts</t>
  </si>
  <si>
    <t>Missoula Senior</t>
  </si>
  <si>
    <t>Livingston Memorial Hospital- Tbd</t>
  </si>
  <si>
    <t>Aspen Place Iii</t>
  </si>
  <si>
    <t>Meadows Senior Apartments</t>
  </si>
  <si>
    <t>Lewiston</t>
  </si>
  <si>
    <t xml:space="preserve">Fergus </t>
  </si>
  <si>
    <t>Nicole Court Senior</t>
  </si>
  <si>
    <t>American Square</t>
  </si>
  <si>
    <t>North Stone Residences</t>
  </si>
  <si>
    <t>Gallatin Forks Senior Living</t>
  </si>
  <si>
    <t>Old Joe</t>
  </si>
  <si>
    <t>Missoula 4%/9%</t>
  </si>
  <si>
    <t>Evergreen Commons</t>
  </si>
  <si>
    <t>Evergreen</t>
  </si>
  <si>
    <t>Alpine View Apartments</t>
  </si>
  <si>
    <t>Fort Peck 4</t>
  </si>
  <si>
    <t>Ft. Peck Hsg Auth</t>
  </si>
  <si>
    <t>Echo Enterprises</t>
  </si>
  <si>
    <t>HRC Cottages, Inc</t>
  </si>
  <si>
    <t>Timber Ridge Apts</t>
  </si>
  <si>
    <t>Summit Housing</t>
  </si>
  <si>
    <t>Syringa Housing</t>
  </si>
  <si>
    <t>Nemont Manor</t>
  </si>
  <si>
    <t>Alpine View</t>
  </si>
  <si>
    <t>Housing Solutions,</t>
  </si>
  <si>
    <t>Whitefish Family Apts</t>
  </si>
  <si>
    <t>Commonwealth Dev</t>
  </si>
  <si>
    <t>RMDC and CR Bldrs</t>
  </si>
  <si>
    <t>Crow Creek Apartments</t>
  </si>
  <si>
    <t>Townsend</t>
  </si>
  <si>
    <t>Broadwater</t>
  </si>
  <si>
    <t>Skyview 9</t>
  </si>
  <si>
    <t>New</t>
  </si>
  <si>
    <t>Housing Solutions / CR Bldrs</t>
  </si>
  <si>
    <t>taylorh@syringaproperties.com</t>
  </si>
  <si>
    <t>Blackfeet Homes Vii (Withdrawn)</t>
  </si>
  <si>
    <t>PO Box 449</t>
  </si>
  <si>
    <t>chancy@blackfeethousing.org</t>
  </si>
  <si>
    <t xml:space="preserve">Cut Bank </t>
  </si>
  <si>
    <t>4835 Echo Drive</t>
  </si>
  <si>
    <t>beki@montana.com</t>
  </si>
  <si>
    <t>Affiliated Developers,</t>
  </si>
  <si>
    <t>Eagles Manor</t>
  </si>
  <si>
    <t>HRC Development</t>
  </si>
  <si>
    <t>Heron Flats</t>
  </si>
  <si>
    <t>MHA &amp; Bouchee Dev</t>
  </si>
  <si>
    <t>Mike Bouchee</t>
  </si>
  <si>
    <t>131 S Higgins</t>
  </si>
  <si>
    <t>mike@boucheedevelopment.com</t>
  </si>
  <si>
    <t>Third St Commons</t>
  </si>
  <si>
    <t>NWGF Development</t>
  </si>
  <si>
    <t>Neil Fortier</t>
  </si>
  <si>
    <t>509 1st Ave S</t>
  </si>
  <si>
    <t>nfortier@nwgf.org</t>
  </si>
  <si>
    <t>Timber Ridge</t>
  </si>
  <si>
    <t xml:space="preserve">Summit Housing </t>
  </si>
  <si>
    <t>283 W Front St</t>
  </si>
  <si>
    <t>Rusty@SummitHousingGroup.com</t>
  </si>
  <si>
    <t>The Housing Co</t>
  </si>
  <si>
    <t>565 W Myrtle St Ste 250</t>
  </si>
  <si>
    <t>blake@ihfa.org</t>
  </si>
  <si>
    <t>Paxson Place</t>
  </si>
  <si>
    <t>Hardin Senior Hsing</t>
  </si>
  <si>
    <t>American Covenant Sr Hsing</t>
  </si>
  <si>
    <t>Ouellette Place II</t>
  </si>
  <si>
    <t>Boulevards Apts</t>
  </si>
  <si>
    <t>HRDC IX / GL Dev</t>
  </si>
  <si>
    <t>1601 Jerome Place</t>
  </si>
  <si>
    <t>Culver Place</t>
  </si>
  <si>
    <t>Valley View Apts</t>
  </si>
  <si>
    <t>Pullman Apts</t>
  </si>
  <si>
    <t>Ventura Villas</t>
  </si>
  <si>
    <t>Havre Hills</t>
  </si>
  <si>
    <t>AC Solutions / HRDC IV</t>
  </si>
  <si>
    <t>Andrew Chanania</t>
  </si>
  <si>
    <t>835 5th Ave</t>
  </si>
  <si>
    <t>chananiasolutions@gmail.com</t>
  </si>
  <si>
    <t>Garfield Flats</t>
  </si>
  <si>
    <t>HAB/Homeword Inc</t>
  </si>
  <si>
    <t>Washoe Place</t>
  </si>
  <si>
    <t>Oakwood Village</t>
  </si>
  <si>
    <t>Affiliated Develors</t>
  </si>
  <si>
    <t>(248) 268-3289</t>
  </si>
  <si>
    <t>Hardin Senior Housing</t>
  </si>
  <si>
    <t>Harmony Meadows</t>
  </si>
  <si>
    <t>Gateway Vista II</t>
  </si>
  <si>
    <t>ceo@ywcabillings.org</t>
  </si>
  <si>
    <t>(406) 252-6303</t>
  </si>
  <si>
    <t>Kalispell Family 9%</t>
  </si>
  <si>
    <t>GMD/Homeword</t>
  </si>
  <si>
    <t>Steve Demoke</t>
  </si>
  <si>
    <t>(206) 745-6464</t>
  </si>
  <si>
    <t>Kalispell Family 4%</t>
  </si>
  <si>
    <t>Tower Commons</t>
  </si>
  <si>
    <t xml:space="preserve">Blackfeet Housing </t>
  </si>
  <si>
    <t>Joe Gervais</t>
  </si>
  <si>
    <t>jgervais@blackfeethousing.org</t>
  </si>
  <si>
    <t>(406) 450-5538</t>
  </si>
  <si>
    <t>Valley Court Apts</t>
  </si>
  <si>
    <t>406.256.3002</t>
  </si>
  <si>
    <t>River Ridge Apts</t>
  </si>
  <si>
    <t xml:space="preserve">Paul Capps </t>
  </si>
  <si>
    <t>Paul@Summithousinggroup.com</t>
  </si>
  <si>
    <t>406.431.2151</t>
  </si>
  <si>
    <t>South Lake Apts</t>
  </si>
  <si>
    <t>Cordes Development</t>
  </si>
  <si>
    <t>Shawne Mastronardi</t>
  </si>
  <si>
    <t>Aurora</t>
  </si>
  <si>
    <t>team.cordes@earthlink.net</t>
  </si>
  <si>
    <t>406.322.3337</t>
  </si>
  <si>
    <t>Yellowstone Plaza</t>
  </si>
  <si>
    <t>Portland</t>
  </si>
  <si>
    <t>914.441.3880</t>
  </si>
  <si>
    <t>Grant Creek Commons</t>
  </si>
  <si>
    <t>Ryan Jones Consulting</t>
  </si>
  <si>
    <t>Ryan Jones</t>
  </si>
  <si>
    <t xml:space="preserve">Boulder </t>
  </si>
  <si>
    <t>ryan@rchjoneshousing.com</t>
  </si>
  <si>
    <t>503.784.9411</t>
  </si>
  <si>
    <t>Polson Shores</t>
  </si>
  <si>
    <t>303.305.8128</t>
  </si>
  <si>
    <t>No Award FA</t>
  </si>
  <si>
    <t>Hardin Senior Hsing (resyd of Rangeview Apts)</t>
  </si>
  <si>
    <t>Oak Leaf Community Dev</t>
  </si>
  <si>
    <t>Cabinet Aff Housing</t>
  </si>
  <si>
    <t>ACSHF / Comm Action</t>
  </si>
  <si>
    <t>No Award LOI</t>
  </si>
  <si>
    <t>Valley Court Apartments</t>
  </si>
  <si>
    <t>Bigfork Senior Housing</t>
  </si>
  <si>
    <t>Non Profit</t>
  </si>
  <si>
    <t>Oakleaf Community</t>
  </si>
  <si>
    <t>Cherry Orchard</t>
  </si>
  <si>
    <t>Centennial Village</t>
  </si>
  <si>
    <t>Community Preservation Ptrs</t>
  </si>
  <si>
    <t>GMD Development</t>
  </si>
  <si>
    <t>FA-withdrawn</t>
  </si>
  <si>
    <t>Yellowstone Plaza 9%</t>
  </si>
  <si>
    <t>Boundary Dev / HRDC</t>
  </si>
  <si>
    <t>crosby@boundarydev.com</t>
  </si>
  <si>
    <t>Sage Grouse Homes</t>
  </si>
  <si>
    <t>Valley View Village</t>
  </si>
  <si>
    <t>1619 Butte Ave</t>
  </si>
  <si>
    <t>Lewis &amp; Clark</t>
  </si>
  <si>
    <t>Polson Gardens</t>
  </si>
  <si>
    <t>Lake County</t>
  </si>
  <si>
    <t>The Grand Apartments</t>
  </si>
  <si>
    <t>120 West Broadway St</t>
  </si>
  <si>
    <t>Austin Richardson</t>
  </si>
  <si>
    <t>2525 Palmer St STE 1</t>
  </si>
  <si>
    <t>austinr@summithousinggroup.com</t>
  </si>
  <si>
    <t>Bridge Apartments</t>
  </si>
  <si>
    <t>1205 West Broadway St</t>
  </si>
  <si>
    <t>Blueline Development, Inc.</t>
  </si>
  <si>
    <t>1004 South Ave West</t>
  </si>
  <si>
    <t>383 Hawk Dr</t>
  </si>
  <si>
    <t>Immanuel Luth/CR Blders</t>
  </si>
  <si>
    <t>Jason Cronk</t>
  </si>
  <si>
    <t>185 Crestline Dr</t>
  </si>
  <si>
    <t>jcronk@ilcorp.org</t>
  </si>
  <si>
    <t>active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</si>
</sst>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5" formatCode="mm/dd/yyyy"/>
    <numFmt numFmtId="166" formatCode="0.00000"/>
    <numFmt numFmtId="167" formatCode="&quot;$&quot;#,##0"/>
    <numFmt numFmtId="168" formatCode="yyyy"/>
    <numFmt numFmtId="169" formatCode="[&lt;=9999999]###\-####;\(###\)\ ###\-####"/>
    <numFmt numFmtId="170" formatCode="0.0000%"/>
  </numFmts>
  <fonts count="17" x14ac:knownFonts="1">
    <font>
      <sz val="11"/>
      <color theme="1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color rgb="FF00B05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sz val="10"/>
      <color rgb="FF0070C0"/>
      <name val="Arial"/>
      <family val="2"/>
    </font>
    <font>
      <sz val="10"/>
      <color theme="1"/>
      <name val="Arial"/>
      <family val="2"/>
    </font>
    <font>
      <sz val="10"/>
      <color theme="4"/>
      <name val="Arial"/>
      <family val="2"/>
    </font>
    <font>
      <u/>
      <sz val="10"/>
      <color theme="4"/>
      <name val="Arial"/>
      <family val="2"/>
    </font>
    <font>
      <u/>
      <sz val="10"/>
      <color rgb="FF0070C0"/>
      <name val="Arial"/>
      <family val="2"/>
    </font>
    <font>
      <sz val="10"/>
      <color indexed="8"/>
      <name val="Arial"/>
      <family val="2"/>
    </font>
    <font>
      <sz val="10"/>
      <name val="Aptos Narrow"/>
      <family val="2"/>
      <scheme val="minor"/>
    </font>
    <font>
      <b/>
      <u/>
      <sz val="10"/>
      <name val="Arial"/>
      <family val="2"/>
    </font>
    <font>
      <strike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6" fillId="0" borderId="0"/>
    <xf numFmtId="0" fontId="6" fillId="0" borderId="0"/>
  </cellStyleXfs>
  <cellXfs count="177">
    <xf numFmtId="0" fontId="0" fillId="0" borderId="0" xfId="0"/>
    <xf numFmtId="1" fontId="2" fillId="0" borderId="1" xfId="0" applyNumberFormat="1" applyFont="1" applyBorder="1" applyAlignment="1">
      <alignment horizontal="center" wrapText="1"/>
    </xf>
    <xf numFmtId="165" fontId="2" fillId="2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166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37" fontId="2" fillId="2" borderId="1" xfId="0" applyNumberFormat="1" applyFont="1" applyFill="1" applyBorder="1" applyAlignment="1">
      <alignment horizontal="center" wrapText="1"/>
    </xf>
    <xf numFmtId="7" fontId="2" fillId="0" borderId="1" xfId="0" applyNumberFormat="1" applyFont="1" applyBorder="1" applyAlignment="1">
      <alignment horizontal="center" wrapText="1"/>
    </xf>
    <xf numFmtId="7" fontId="2" fillId="2" borderId="1" xfId="0" applyNumberFormat="1" applyFont="1" applyFill="1" applyBorder="1" applyAlignment="1">
      <alignment horizontal="center" wrapText="1"/>
    </xf>
    <xf numFmtId="10" fontId="2" fillId="0" borderId="1" xfId="0" applyNumberFormat="1" applyFont="1" applyBorder="1" applyAlignment="1">
      <alignment horizontal="center" wrapText="1"/>
    </xf>
    <xf numFmtId="41" fontId="2" fillId="0" borderId="1" xfId="0" applyNumberFormat="1" applyFont="1" applyBorder="1" applyAlignment="1">
      <alignment horizontal="center" wrapText="1"/>
    </xf>
    <xf numFmtId="0" fontId="2" fillId="0" borderId="1" xfId="0" applyFont="1" applyBorder="1"/>
    <xf numFmtId="165" fontId="2" fillId="0" borderId="1" xfId="0" applyNumberFormat="1" applyFont="1" applyBorder="1" applyAlignment="1">
      <alignment horizontal="center" wrapText="1"/>
    </xf>
    <xf numFmtId="168" fontId="2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9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wrapText="1"/>
    </xf>
    <xf numFmtId="165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166" fontId="2" fillId="0" borderId="0" xfId="0" applyNumberFormat="1" applyFont="1" applyAlignment="1">
      <alignment horizontal="left"/>
    </xf>
    <xf numFmtId="9" fontId="2" fillId="0" borderId="0" xfId="0" applyNumberFormat="1" applyFont="1" applyAlignment="1">
      <alignment horizontal="left"/>
    </xf>
    <xf numFmtId="37" fontId="2" fillId="0" borderId="0" xfId="0" applyNumberFormat="1" applyFont="1" applyAlignment="1">
      <alignment horizontal="center"/>
    </xf>
    <xf numFmtId="5" fontId="2" fillId="0" borderId="0" xfId="0" applyNumberFormat="1" applyFont="1"/>
    <xf numFmtId="167" fontId="2" fillId="0" borderId="0" xfId="0" applyNumberFormat="1" applyFont="1"/>
    <xf numFmtId="10" fontId="2" fillId="0" borderId="0" xfId="0" applyNumberFormat="1" applyFont="1"/>
    <xf numFmtId="41" fontId="2" fillId="0" borderId="0" xfId="0" applyNumberFormat="1" applyFont="1"/>
    <xf numFmtId="165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3" fillId="0" borderId="0" xfId="1" applyFont="1" applyFill="1" applyBorder="1" applyAlignment="1" applyProtection="1"/>
    <xf numFmtId="3" fontId="2" fillId="0" borderId="0" xfId="0" applyNumberFormat="1" applyFont="1" applyAlignment="1">
      <alignment horizontal="center" wrapText="1"/>
    </xf>
    <xf numFmtId="43" fontId="2" fillId="0" borderId="0" xfId="0" applyNumberFormat="1" applyFont="1"/>
    <xf numFmtId="3" fontId="2" fillId="0" borderId="0" xfId="0" applyNumberFormat="1" applyFont="1"/>
    <xf numFmtId="169" fontId="2" fillId="0" borderId="0" xfId="0" applyNumberFormat="1" applyFont="1"/>
    <xf numFmtId="3" fontId="2" fillId="0" borderId="0" xfId="0" applyNumberFormat="1" applyFont="1" applyAlignment="1">
      <alignment horizontal="center"/>
    </xf>
    <xf numFmtId="0" fontId="1" fillId="0" borderId="0" xfId="1" applyFill="1" applyBorder="1" applyAlignment="1" applyProtection="1"/>
    <xf numFmtId="0" fontId="2" fillId="0" borderId="0" xfId="0" applyFont="1" applyAlignment="1" applyProtection="1">
      <alignment wrapText="1"/>
      <protection locked="0"/>
    </xf>
    <xf numFmtId="9" fontId="2" fillId="0" borderId="0" xfId="0" applyNumberFormat="1" applyFont="1" applyAlignment="1">
      <alignment horizontal="left" wrapText="1"/>
    </xf>
    <xf numFmtId="0" fontId="2" fillId="0" borderId="0" xfId="0" applyFont="1" applyAlignment="1" applyProtection="1">
      <alignment horizontal="center" wrapText="1"/>
      <protection locked="0"/>
    </xf>
    <xf numFmtId="41" fontId="2" fillId="0" borderId="0" xfId="0" applyNumberFormat="1" applyFont="1" applyAlignment="1" applyProtection="1">
      <alignment horizontal="center" wrapText="1"/>
      <protection locked="0"/>
    </xf>
    <xf numFmtId="170" fontId="2" fillId="0" borderId="0" xfId="0" applyNumberFormat="1" applyFont="1"/>
    <xf numFmtId="37" fontId="2" fillId="0" borderId="0" xfId="0" applyNumberFormat="1" applyFont="1"/>
    <xf numFmtId="0" fontId="4" fillId="0" borderId="0" xfId="0" applyFont="1"/>
    <xf numFmtId="37" fontId="4" fillId="0" borderId="0" xfId="0" applyNumberFormat="1" applyFont="1"/>
    <xf numFmtId="10" fontId="4" fillId="3" borderId="0" xfId="0" applyNumberFormat="1" applyFont="1" applyFill="1"/>
    <xf numFmtId="10" fontId="4" fillId="0" borderId="0" xfId="0" applyNumberFormat="1" applyFont="1"/>
    <xf numFmtId="7" fontId="2" fillId="0" borderId="0" xfId="0" applyNumberFormat="1" applyFont="1"/>
    <xf numFmtId="169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wrapText="1"/>
    </xf>
    <xf numFmtId="165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/>
    <xf numFmtId="0" fontId="5" fillId="0" borderId="0" xfId="0" applyFont="1" applyAlignment="1">
      <alignment horizontal="left"/>
    </xf>
    <xf numFmtId="166" fontId="5" fillId="0" borderId="0" xfId="0" applyNumberFormat="1" applyFont="1" applyAlignment="1">
      <alignment horizontal="left"/>
    </xf>
    <xf numFmtId="9" fontId="5" fillId="0" borderId="0" xfId="0" applyNumberFormat="1" applyFont="1" applyAlignment="1">
      <alignment horizontal="left" wrapText="1"/>
    </xf>
    <xf numFmtId="0" fontId="5" fillId="0" borderId="0" xfId="0" applyFont="1" applyAlignment="1" applyProtection="1">
      <alignment horizontal="center" wrapText="1"/>
      <protection locked="0"/>
    </xf>
    <xf numFmtId="41" fontId="5" fillId="0" borderId="0" xfId="0" applyNumberFormat="1" applyFont="1" applyAlignment="1" applyProtection="1">
      <alignment horizontal="center" wrapText="1"/>
      <protection locked="0"/>
    </xf>
    <xf numFmtId="37" fontId="5" fillId="0" borderId="0" xfId="0" applyNumberFormat="1" applyFont="1" applyAlignment="1">
      <alignment horizontal="center"/>
    </xf>
    <xf numFmtId="5" fontId="5" fillId="0" borderId="0" xfId="0" applyNumberFormat="1" applyFont="1"/>
    <xf numFmtId="41" fontId="5" fillId="0" borderId="0" xfId="2" applyNumberFormat="1" applyFont="1"/>
    <xf numFmtId="10" fontId="5" fillId="0" borderId="0" xfId="0" applyNumberFormat="1" applyFont="1"/>
    <xf numFmtId="41" fontId="5" fillId="0" borderId="0" xfId="0" applyNumberFormat="1" applyFont="1"/>
    <xf numFmtId="167" fontId="5" fillId="0" borderId="0" xfId="0" applyNumberFormat="1" applyFont="1"/>
    <xf numFmtId="1" fontId="5" fillId="0" borderId="0" xfId="0" applyNumberFormat="1" applyFont="1" applyAlignment="1">
      <alignment horizontal="center" wrapText="1"/>
    </xf>
    <xf numFmtId="168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wrapText="1"/>
    </xf>
    <xf numFmtId="43" fontId="5" fillId="0" borderId="0" xfId="0" applyNumberFormat="1" applyFont="1"/>
    <xf numFmtId="41" fontId="2" fillId="0" borderId="0" xfId="2" applyNumberFormat="1" applyFont="1"/>
    <xf numFmtId="0" fontId="7" fillId="0" borderId="0" xfId="1" applyFont="1" applyFill="1" applyBorder="1" applyAlignment="1" applyProtection="1"/>
    <xf numFmtId="41" fontId="2" fillId="0" borderId="0" xfId="0" applyNumberFormat="1" applyFont="1" applyAlignment="1" applyProtection="1">
      <alignment horizontal="left" wrapText="1"/>
      <protection locked="0"/>
    </xf>
    <xf numFmtId="165" fontId="5" fillId="0" borderId="0" xfId="0" applyNumberFormat="1" applyFont="1" applyAlignment="1">
      <alignment horizontal="center"/>
    </xf>
    <xf numFmtId="9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3" fontId="8" fillId="0" borderId="0" xfId="0" applyNumberFormat="1" applyFont="1"/>
    <xf numFmtId="16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166" fontId="8" fillId="0" borderId="0" xfId="0" applyNumberFormat="1" applyFont="1" applyAlignment="1">
      <alignment horizontal="left"/>
    </xf>
    <xf numFmtId="0" fontId="8" fillId="0" borderId="0" xfId="0" applyFont="1" applyAlignment="1" applyProtection="1">
      <alignment wrapText="1"/>
      <protection locked="0"/>
    </xf>
    <xf numFmtId="9" fontId="8" fillId="0" borderId="0" xfId="0" applyNumberFormat="1" applyFont="1" applyAlignment="1">
      <alignment horizontal="left"/>
    </xf>
    <xf numFmtId="37" fontId="8" fillId="0" borderId="0" xfId="0" applyNumberFormat="1" applyFont="1" applyAlignment="1">
      <alignment horizontal="center"/>
    </xf>
    <xf numFmtId="5" fontId="8" fillId="0" borderId="0" xfId="0" applyNumberFormat="1" applyFont="1"/>
    <xf numFmtId="10" fontId="8" fillId="0" borderId="0" xfId="0" applyNumberFormat="1" applyFont="1"/>
    <xf numFmtId="41" fontId="8" fillId="0" borderId="0" xfId="0" applyNumberFormat="1" applyFont="1"/>
    <xf numFmtId="167" fontId="8" fillId="0" borderId="0" xfId="0" applyNumberFormat="1" applyFont="1"/>
    <xf numFmtId="1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37" fontId="9" fillId="0" borderId="0" xfId="0" applyNumberFormat="1" applyFont="1" applyAlignment="1">
      <alignment horizontal="center"/>
    </xf>
    <xf numFmtId="5" fontId="9" fillId="0" borderId="0" xfId="0" applyNumberFormat="1" applyFont="1"/>
    <xf numFmtId="10" fontId="9" fillId="0" borderId="0" xfId="0" applyNumberFormat="1" applyFont="1"/>
    <xf numFmtId="41" fontId="9" fillId="0" borderId="0" xfId="0" applyNumberFormat="1" applyFont="1"/>
    <xf numFmtId="5" fontId="2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41" fontId="2" fillId="0" borderId="0" xfId="0" applyNumberFormat="1" applyFont="1" applyAlignment="1">
      <alignment horizontal="right"/>
    </xf>
    <xf numFmtId="167" fontId="2" fillId="0" borderId="0" xfId="0" applyNumberFormat="1" applyFont="1" applyAlignment="1">
      <alignment horizontal="right"/>
    </xf>
    <xf numFmtId="3" fontId="2" fillId="0" borderId="0" xfId="3" applyNumberFormat="1" applyFont="1" applyAlignment="1">
      <alignment horizontal="center"/>
    </xf>
    <xf numFmtId="0" fontId="2" fillId="0" borderId="0" xfId="3" applyFont="1" applyAlignment="1">
      <alignment horizontal="center"/>
    </xf>
    <xf numFmtId="0" fontId="2" fillId="0" borderId="0" xfId="3" applyFont="1"/>
    <xf numFmtId="0" fontId="8" fillId="0" borderId="0" xfId="3" applyFont="1" applyAlignment="1">
      <alignment horizontal="center"/>
    </xf>
    <xf numFmtId="167" fontId="8" fillId="0" borderId="0" xfId="3" applyNumberFormat="1" applyFont="1" applyAlignment="1">
      <alignment horizontal="right"/>
    </xf>
    <xf numFmtId="10" fontId="8" fillId="0" borderId="0" xfId="3" applyNumberFormat="1" applyFont="1" applyAlignment="1">
      <alignment horizontal="right"/>
    </xf>
    <xf numFmtId="41" fontId="8" fillId="0" borderId="0" xfId="3" applyNumberFormat="1" applyFont="1" applyAlignment="1">
      <alignment horizontal="right"/>
    </xf>
    <xf numFmtId="0" fontId="8" fillId="0" borderId="0" xfId="3" applyFont="1"/>
    <xf numFmtId="3" fontId="8" fillId="0" borderId="0" xfId="3" applyNumberFormat="1" applyFont="1" applyAlignment="1">
      <alignment horizontal="center"/>
    </xf>
    <xf numFmtId="0" fontId="2" fillId="0" borderId="0" xfId="3" applyFont="1" applyAlignment="1">
      <alignment wrapText="1"/>
    </xf>
    <xf numFmtId="14" fontId="2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left"/>
    </xf>
    <xf numFmtId="166" fontId="10" fillId="0" borderId="0" xfId="0" applyNumberFormat="1" applyFont="1" applyAlignment="1">
      <alignment horizontal="left"/>
    </xf>
    <xf numFmtId="9" fontId="10" fillId="0" borderId="0" xfId="0" applyNumberFormat="1" applyFont="1" applyAlignment="1">
      <alignment horizontal="left"/>
    </xf>
    <xf numFmtId="37" fontId="10" fillId="0" borderId="0" xfId="0" applyNumberFormat="1" applyFont="1" applyAlignment="1">
      <alignment horizontal="center"/>
    </xf>
    <xf numFmtId="5" fontId="10" fillId="0" borderId="0" xfId="0" applyNumberFormat="1" applyFont="1"/>
    <xf numFmtId="10" fontId="10" fillId="0" borderId="0" xfId="0" applyNumberFormat="1" applyFont="1"/>
    <xf numFmtId="41" fontId="10" fillId="0" borderId="0" xfId="0" applyNumberFormat="1" applyFont="1"/>
    <xf numFmtId="167" fontId="10" fillId="0" borderId="0" xfId="0" applyNumberFormat="1" applyFont="1"/>
    <xf numFmtId="168" fontId="10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11" fillId="0" borderId="0" xfId="1" applyFont="1" applyFill="1" applyBorder="1" applyAlignment="1" applyProtection="1"/>
    <xf numFmtId="3" fontId="10" fillId="0" borderId="0" xfId="0" applyNumberFormat="1" applyFont="1" applyAlignment="1">
      <alignment horizontal="center"/>
    </xf>
    <xf numFmtId="3" fontId="10" fillId="0" borderId="0" xfId="0" applyNumberFormat="1" applyFont="1"/>
    <xf numFmtId="168" fontId="8" fillId="0" borderId="0" xfId="0" applyNumberFormat="1" applyFont="1" applyAlignment="1">
      <alignment horizontal="center"/>
    </xf>
    <xf numFmtId="0" fontId="12" fillId="0" borderId="0" xfId="1" applyFont="1" applyFill="1" applyBorder="1" applyAlignment="1" applyProtection="1"/>
    <xf numFmtId="42" fontId="13" fillId="0" borderId="0" xfId="0" applyNumberFormat="1" applyFont="1" applyAlignment="1">
      <alignment horizontal="center"/>
    </xf>
    <xf numFmtId="10" fontId="13" fillId="0" borderId="0" xfId="0" applyNumberFormat="1" applyFont="1" applyAlignment="1">
      <alignment horizontal="center"/>
    </xf>
    <xf numFmtId="41" fontId="13" fillId="0" borderId="0" xfId="0" applyNumberFormat="1" applyFont="1" applyAlignment="1">
      <alignment horizontal="center"/>
    </xf>
    <xf numFmtId="42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41" fontId="2" fillId="0" borderId="0" xfId="0" applyNumberFormat="1" applyFont="1" applyAlignment="1">
      <alignment horizontal="center"/>
    </xf>
    <xf numFmtId="42" fontId="8" fillId="0" borderId="0" xfId="0" applyNumberFormat="1" applyFont="1" applyAlignment="1">
      <alignment horizontal="center"/>
    </xf>
    <xf numFmtId="10" fontId="8" fillId="0" borderId="0" xfId="0" applyNumberFormat="1" applyFont="1" applyAlignment="1">
      <alignment horizontal="center"/>
    </xf>
    <xf numFmtId="4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0" fontId="2" fillId="0" borderId="0" xfId="0" quotePrefix="1" applyFont="1" applyAlignment="1">
      <alignment horizontal="right"/>
    </xf>
    <xf numFmtId="0" fontId="8" fillId="0" borderId="0" xfId="0" quotePrefix="1" applyFont="1" applyAlignment="1">
      <alignment horizontal="right"/>
    </xf>
    <xf numFmtId="49" fontId="2" fillId="0" borderId="0" xfId="0" applyNumberFormat="1" applyFont="1" applyAlignment="1">
      <alignment horizontal="center"/>
    </xf>
    <xf numFmtId="166" fontId="2" fillId="0" borderId="0" xfId="0" applyNumberFormat="1" applyFont="1"/>
    <xf numFmtId="3" fontId="2" fillId="0" borderId="0" xfId="0" applyNumberFormat="1" applyFont="1" applyAlignment="1">
      <alignment horizontal="right"/>
    </xf>
    <xf numFmtId="0" fontId="2" fillId="4" borderId="0" xfId="0" applyFont="1" applyFill="1" applyAlignment="1">
      <alignment horizontal="center"/>
    </xf>
    <xf numFmtId="0" fontId="2" fillId="4" borderId="0" xfId="0" applyFont="1" applyFill="1"/>
    <xf numFmtId="3" fontId="2" fillId="4" borderId="0" xfId="0" applyNumberFormat="1" applyFont="1" applyFill="1"/>
    <xf numFmtId="0" fontId="2" fillId="0" borderId="0" xfId="0" quotePrefix="1" applyFont="1" applyAlignment="1">
      <alignment horizontal="center"/>
    </xf>
    <xf numFmtId="0" fontId="14" fillId="0" borderId="0" xfId="0" applyFont="1" applyAlignment="1">
      <alignment horizontal="left"/>
    </xf>
    <xf numFmtId="167" fontId="14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167" fontId="15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left"/>
    </xf>
    <xf numFmtId="41" fontId="2" fillId="0" borderId="0" xfId="0" applyNumberFormat="1" applyFont="1" applyAlignment="1">
      <alignment horizontal="left"/>
    </xf>
    <xf numFmtId="169" fontId="2" fillId="0" borderId="0" xfId="0" applyNumberFormat="1" applyFont="1" applyAlignment="1" applyProtection="1">
      <alignment horizontal="right" wrapText="1"/>
      <protection locked="0"/>
    </xf>
    <xf numFmtId="7" fontId="2" fillId="0" borderId="0" xfId="0" applyNumberFormat="1" applyFont="1" applyAlignment="1">
      <alignment horizontal="center" wrapText="1"/>
    </xf>
    <xf numFmtId="10" fontId="2" fillId="0" borderId="0" xfId="0" applyNumberFormat="1" applyFont="1" applyAlignment="1">
      <alignment horizontal="center" wrapText="1"/>
    </xf>
    <xf numFmtId="41" fontId="2" fillId="0" borderId="0" xfId="0" applyNumberFormat="1" applyFont="1" applyAlignment="1">
      <alignment horizontal="center" wrapText="1"/>
    </xf>
    <xf numFmtId="168" fontId="2" fillId="0" borderId="0" xfId="0" applyNumberFormat="1" applyFont="1" applyAlignment="1">
      <alignment horizontal="center" wrapText="1"/>
    </xf>
    <xf numFmtId="3" fontId="2" fillId="0" borderId="0" xfId="0" applyNumberFormat="1" applyFont="1" applyAlignment="1" applyProtection="1">
      <alignment horizontal="center" wrapText="1"/>
      <protection locked="0"/>
    </xf>
    <xf numFmtId="169" fontId="2" fillId="0" borderId="0" xfId="0" applyNumberFormat="1" applyFont="1" applyAlignment="1" applyProtection="1">
      <alignment horizontal="center" wrapText="1"/>
      <protection locked="0"/>
    </xf>
    <xf numFmtId="0" fontId="2" fillId="5" borderId="0" xfId="0" applyFont="1" applyFill="1" applyAlignment="1" applyProtection="1">
      <alignment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2" fillId="5" borderId="2" xfId="0" applyFont="1" applyFill="1" applyBorder="1" applyAlignment="1" applyProtection="1">
      <alignment wrapText="1"/>
      <protection locked="0"/>
    </xf>
    <xf numFmtId="0" fontId="16" fillId="0" borderId="2" xfId="0" applyFont="1" applyBorder="1" applyAlignment="1" applyProtection="1">
      <alignment wrapText="1"/>
      <protection locked="0"/>
    </xf>
    <xf numFmtId="10" fontId="2" fillId="6" borderId="0" xfId="0" applyNumberFormat="1" applyFont="1" applyFill="1"/>
    <xf numFmtId="10" fontId="4" fillId="6" borderId="0" xfId="0" applyNumberFormat="1" applyFont="1" applyFill="1"/>
  </cellXfs>
  <cellStyles count="4">
    <cellStyle name="Hyperlink" xfId="1" builtinId="8"/>
    <cellStyle name="Normal" xfId="0" builtinId="0"/>
    <cellStyle name="Normal 2" xfId="3" xr:uid="{EE175F58-1BFE-4429-9F61-11EC2F1A15CD}"/>
    <cellStyle name="Normal 3" xfId="2" xr:uid="{5FB73C66-66DE-4DA6-843F-FA2E0D4C47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entdoc0015\DivisionFiles2\hous\BOH\BOHSHARE\MultiFamily\01.01_Operations\Data_Bases\TC-Sum20231102.xlsm" TargetMode="External"/><Relationship Id="rId1" Type="http://schemas.openxmlformats.org/officeDocument/2006/relationships/externalLinkPath" Target="TC-Sum202311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C All"/>
      <sheetName val="EconBenMult"/>
      <sheetName val="POA"/>
      <sheetName val="alloc"/>
    </sheetNames>
    <sheetDataSet>
      <sheetData sheetId="0"/>
      <sheetData sheetId="1">
        <row r="12">
          <cell r="B12" t="str">
            <v>Acq/Rehab</v>
          </cell>
          <cell r="C12">
            <v>7.76</v>
          </cell>
          <cell r="D12">
            <v>428228.04</v>
          </cell>
        </row>
        <row r="13">
          <cell r="B13" t="str">
            <v>New Const</v>
          </cell>
          <cell r="C13">
            <v>12.03</v>
          </cell>
          <cell r="D13">
            <v>699228.85</v>
          </cell>
        </row>
        <row r="14">
          <cell r="B14" t="str">
            <v>Rehab</v>
          </cell>
          <cell r="C14">
            <v>7.76</v>
          </cell>
          <cell r="D14">
            <v>428228.04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heather@homeword.org" TargetMode="External"/><Relationship Id="rId21" Type="http://schemas.openxmlformats.org/officeDocument/2006/relationships/hyperlink" Target="mailto:alex@housing-solutions.org" TargetMode="External"/><Relationship Id="rId42" Type="http://schemas.openxmlformats.org/officeDocument/2006/relationships/hyperlink" Target="mailto:paul@summithousinggroup.com" TargetMode="External"/><Relationship Id="rId47" Type="http://schemas.openxmlformats.org/officeDocument/2006/relationships/hyperlink" Target="mailto:tfluetsch@d-h-i.net" TargetMode="External"/><Relationship Id="rId63" Type="http://schemas.openxmlformats.org/officeDocument/2006/relationships/hyperlink" Target="mailto:kbuckland@cpp-housing.com" TargetMode="External"/><Relationship Id="rId68" Type="http://schemas.openxmlformats.org/officeDocument/2006/relationships/hyperlink" Target="mailto:austinr@summithousinggroup.com" TargetMode="External"/><Relationship Id="rId16" Type="http://schemas.openxmlformats.org/officeDocument/2006/relationships/hyperlink" Target="mailto:dtrost@sjlm.org" TargetMode="External"/><Relationship Id="rId11" Type="http://schemas.openxmlformats.org/officeDocument/2006/relationships/hyperlink" Target="mailto:alex@housing-solutions.org" TargetMode="External"/><Relationship Id="rId24" Type="http://schemas.openxmlformats.org/officeDocument/2006/relationships/hyperlink" Target="mailto:alex@housing-solutions.org" TargetMode="External"/><Relationship Id="rId32" Type="http://schemas.openxmlformats.org/officeDocument/2006/relationships/hyperlink" Target="mailto:rstordahl@buttehousing.org" TargetMode="External"/><Relationship Id="rId37" Type="http://schemas.openxmlformats.org/officeDocument/2006/relationships/hyperlink" Target="mailto:beki@montana.com" TargetMode="External"/><Relationship Id="rId40" Type="http://schemas.openxmlformats.org/officeDocument/2006/relationships/hyperlink" Target="mailto:nate@bluelinedevelopment.com" TargetMode="External"/><Relationship Id="rId45" Type="http://schemas.openxmlformats.org/officeDocument/2006/relationships/hyperlink" Target="mailto:gmf@acshf.com" TargetMode="External"/><Relationship Id="rId53" Type="http://schemas.openxmlformats.org/officeDocument/2006/relationships/hyperlink" Target="mailto:gmf@acshf.com" TargetMode="External"/><Relationship Id="rId58" Type="http://schemas.openxmlformats.org/officeDocument/2006/relationships/hyperlink" Target="mailto:crosby@boundarydev.com" TargetMode="External"/><Relationship Id="rId66" Type="http://schemas.openxmlformats.org/officeDocument/2006/relationships/hyperlink" Target="mailto:jcronk@ilcorp.org" TargetMode="External"/><Relationship Id="rId74" Type="http://schemas.openxmlformats.org/officeDocument/2006/relationships/hyperlink" Target="mailto:tyson@uhousingpartners.com" TargetMode="External"/><Relationship Id="rId79" Type="http://schemas.openxmlformats.org/officeDocument/2006/relationships/hyperlink" Target="mailto:chase.huber@devcowa.com" TargetMode="External"/><Relationship Id="rId5" Type="http://schemas.openxmlformats.org/officeDocument/2006/relationships/hyperlink" Target="mailto:jpm@hrcxi.org" TargetMode="External"/><Relationship Id="rId61" Type="http://schemas.openxmlformats.org/officeDocument/2006/relationships/hyperlink" Target="mailto:chase.huber@devcowa.com" TargetMode="External"/><Relationship Id="rId19" Type="http://schemas.openxmlformats.org/officeDocument/2006/relationships/hyperlink" Target="mailto:gmf@acshf.com" TargetMode="External"/><Relationship Id="rId14" Type="http://schemas.openxmlformats.org/officeDocument/2006/relationships/hyperlink" Target="mailto:lmogstad@rmdc.net" TargetMode="External"/><Relationship Id="rId22" Type="http://schemas.openxmlformats.org/officeDocument/2006/relationships/hyperlink" Target="mailto:kirk@a-developers.com" TargetMode="External"/><Relationship Id="rId27" Type="http://schemas.openxmlformats.org/officeDocument/2006/relationships/hyperlink" Target="mailto:jeff@hampstead.com" TargetMode="External"/><Relationship Id="rId30" Type="http://schemas.openxmlformats.org/officeDocument/2006/relationships/hyperlink" Target="mailto:beki@blackfoot.net" TargetMode="External"/><Relationship Id="rId35" Type="http://schemas.openxmlformats.org/officeDocument/2006/relationships/hyperlink" Target="mailto:alex@housing-solutions.org" TargetMode="External"/><Relationship Id="rId43" Type="http://schemas.openxmlformats.org/officeDocument/2006/relationships/hyperlink" Target="mailto:gleuwer1139@msn.com" TargetMode="External"/><Relationship Id="rId48" Type="http://schemas.openxmlformats.org/officeDocument/2006/relationships/hyperlink" Target="mailto:steve@gmddevelopment.com" TargetMode="External"/><Relationship Id="rId56" Type="http://schemas.openxmlformats.org/officeDocument/2006/relationships/hyperlink" Target="mailto:steve@gmddevelopment.com" TargetMode="External"/><Relationship Id="rId64" Type="http://schemas.openxmlformats.org/officeDocument/2006/relationships/hyperlink" Target="mailto:joe@boundarydev.com" TargetMode="External"/><Relationship Id="rId69" Type="http://schemas.openxmlformats.org/officeDocument/2006/relationships/hyperlink" Target="mailto:charden@stjohnsunited.org" TargetMode="External"/><Relationship Id="rId77" Type="http://schemas.openxmlformats.org/officeDocument/2006/relationships/hyperlink" Target="mailto:chase.huber@devcowa.com" TargetMode="External"/><Relationship Id="rId8" Type="http://schemas.openxmlformats.org/officeDocument/2006/relationships/hyperlink" Target="mailto:mike@boucheedevelopment.com" TargetMode="External"/><Relationship Id="rId51" Type="http://schemas.openxmlformats.org/officeDocument/2006/relationships/hyperlink" Target="mailto:michael.volz@devcowa.com" TargetMode="External"/><Relationship Id="rId72" Type="http://schemas.openxmlformats.org/officeDocument/2006/relationships/hyperlink" Target="mailto:rkucich@cpp-housing.com" TargetMode="External"/><Relationship Id="rId80" Type="http://schemas.openxmlformats.org/officeDocument/2006/relationships/hyperlink" Target="mailto:kbuckland@cpp-housing.com" TargetMode="External"/><Relationship Id="rId3" Type="http://schemas.openxmlformats.org/officeDocument/2006/relationships/hyperlink" Target="mailto:kirk@a-developers.com" TargetMode="External"/><Relationship Id="rId12" Type="http://schemas.openxmlformats.org/officeDocument/2006/relationships/hyperlink" Target="mailto:alex@housing-solutions.org" TargetMode="External"/><Relationship Id="rId17" Type="http://schemas.openxmlformats.org/officeDocument/2006/relationships/hyperlink" Target="mailto:ceo@ywcabillings.org" TargetMode="External"/><Relationship Id="rId25" Type="http://schemas.openxmlformats.org/officeDocument/2006/relationships/hyperlink" Target="mailto:steve@gmddevelopment.com" TargetMode="External"/><Relationship Id="rId33" Type="http://schemas.openxmlformats.org/officeDocument/2006/relationships/hyperlink" Target="mailto:lmogstad@rmdc.net" TargetMode="External"/><Relationship Id="rId38" Type="http://schemas.openxmlformats.org/officeDocument/2006/relationships/hyperlink" Target="mailto:joe@boundarydev.com" TargetMode="External"/><Relationship Id="rId46" Type="http://schemas.openxmlformats.org/officeDocument/2006/relationships/hyperlink" Target="mailto:gmf@acshf.com" TargetMode="External"/><Relationship Id="rId59" Type="http://schemas.openxmlformats.org/officeDocument/2006/relationships/hyperlink" Target="mailto:m.smith@a-resource.com" TargetMode="External"/><Relationship Id="rId67" Type="http://schemas.openxmlformats.org/officeDocument/2006/relationships/hyperlink" Target="mailto:tyson@uhousingpartners.com" TargetMode="External"/><Relationship Id="rId20" Type="http://schemas.openxmlformats.org/officeDocument/2006/relationships/hyperlink" Target="mailto:steve@gmddevelopment.com" TargetMode="External"/><Relationship Id="rId41" Type="http://schemas.openxmlformats.org/officeDocument/2006/relationships/hyperlink" Target="mailto:paul@summithousinggroup.com" TargetMode="External"/><Relationship Id="rId54" Type="http://schemas.openxmlformats.org/officeDocument/2006/relationships/hyperlink" Target="mailto:gmf@acshf.com" TargetMode="External"/><Relationship Id="rId62" Type="http://schemas.openxmlformats.org/officeDocument/2006/relationships/hyperlink" Target="mailto:bmoloney@lincolnavecap.com" TargetMode="External"/><Relationship Id="rId70" Type="http://schemas.openxmlformats.org/officeDocument/2006/relationships/hyperlink" Target="mailto:samantha.cullen@vitus.com" TargetMode="External"/><Relationship Id="rId75" Type="http://schemas.openxmlformats.org/officeDocument/2006/relationships/hyperlink" Target="mailto:alex@housing-solutions.org" TargetMode="External"/><Relationship Id="rId1" Type="http://schemas.openxmlformats.org/officeDocument/2006/relationships/hyperlink" Target="mailto:beki@montana.com" TargetMode="External"/><Relationship Id="rId6" Type="http://schemas.openxmlformats.org/officeDocument/2006/relationships/hyperlink" Target="mailto:taylorh@syringaproperties.com" TargetMode="External"/><Relationship Id="rId15" Type="http://schemas.openxmlformats.org/officeDocument/2006/relationships/hyperlink" Target="mailto:blake@ihfa.org" TargetMode="External"/><Relationship Id="rId23" Type="http://schemas.openxmlformats.org/officeDocument/2006/relationships/hyperlink" Target="mailto:heather@homeword.org" TargetMode="External"/><Relationship Id="rId28" Type="http://schemas.openxmlformats.org/officeDocument/2006/relationships/hyperlink" Target="mailto:mattl@billingslf.org" TargetMode="External"/><Relationship Id="rId36" Type="http://schemas.openxmlformats.org/officeDocument/2006/relationships/hyperlink" Target="mailto:Paul@Summithousinggroup.com" TargetMode="External"/><Relationship Id="rId49" Type="http://schemas.openxmlformats.org/officeDocument/2006/relationships/hyperlink" Target="mailto:heather@homeword.org" TargetMode="External"/><Relationship Id="rId57" Type="http://schemas.openxmlformats.org/officeDocument/2006/relationships/hyperlink" Target="mailto:beki@montana.com" TargetMode="External"/><Relationship Id="rId10" Type="http://schemas.openxmlformats.org/officeDocument/2006/relationships/hyperlink" Target="mailto:Rusty@SummitHousingGroup.com" TargetMode="External"/><Relationship Id="rId31" Type="http://schemas.openxmlformats.org/officeDocument/2006/relationships/hyperlink" Target="mailto:rstordahl@buttehousing.org" TargetMode="External"/><Relationship Id="rId44" Type="http://schemas.openxmlformats.org/officeDocument/2006/relationships/hyperlink" Target="mailto:steve@gmddevelopment.com" TargetMode="External"/><Relationship Id="rId52" Type="http://schemas.openxmlformats.org/officeDocument/2006/relationships/hyperlink" Target="mailto:chase.huber@devcowa.com" TargetMode="External"/><Relationship Id="rId60" Type="http://schemas.openxmlformats.org/officeDocument/2006/relationships/hyperlink" Target="mailto:alex@housing-solutions.org" TargetMode="External"/><Relationship Id="rId65" Type="http://schemas.openxmlformats.org/officeDocument/2006/relationships/hyperlink" Target="mailto:alex@housing-solutions.org" TargetMode="External"/><Relationship Id="rId73" Type="http://schemas.openxmlformats.org/officeDocument/2006/relationships/hyperlink" Target="mailto:joe@boundarydev.com" TargetMode="External"/><Relationship Id="rId78" Type="http://schemas.openxmlformats.org/officeDocument/2006/relationships/hyperlink" Target="mailto:gmf@acshf.com" TargetMode="External"/><Relationship Id="rId4" Type="http://schemas.openxmlformats.org/officeDocument/2006/relationships/hyperlink" Target="mailto:kirk@a-developers.com" TargetMode="External"/><Relationship Id="rId9" Type="http://schemas.openxmlformats.org/officeDocument/2006/relationships/hyperlink" Target="mailto:nfortier@nwgf.org" TargetMode="External"/><Relationship Id="rId13" Type="http://schemas.openxmlformats.org/officeDocument/2006/relationships/hyperlink" Target="mailto:chancy@blackfeethousing.org" TargetMode="External"/><Relationship Id="rId18" Type="http://schemas.openxmlformats.org/officeDocument/2006/relationships/hyperlink" Target="mailto:jgervais@blackfeethousing.org" TargetMode="External"/><Relationship Id="rId39" Type="http://schemas.openxmlformats.org/officeDocument/2006/relationships/hyperlink" Target="mailto:ldavidson@missoulahousing.org" TargetMode="External"/><Relationship Id="rId34" Type="http://schemas.openxmlformats.org/officeDocument/2006/relationships/hyperlink" Target="mailto:ryan@rchjoneshousing.com" TargetMode="External"/><Relationship Id="rId50" Type="http://schemas.openxmlformats.org/officeDocument/2006/relationships/hyperlink" Target="mailto:jason@bluelinedevelopment.com" TargetMode="External"/><Relationship Id="rId55" Type="http://schemas.openxmlformats.org/officeDocument/2006/relationships/hyperlink" Target="mailto:alex@housing-solutions.org" TargetMode="External"/><Relationship Id="rId76" Type="http://schemas.openxmlformats.org/officeDocument/2006/relationships/hyperlink" Target="mailto:pkeenan@reuterwalton.com" TargetMode="External"/><Relationship Id="rId7" Type="http://schemas.openxmlformats.org/officeDocument/2006/relationships/hyperlink" Target="mailto:heather@homeword.org" TargetMode="External"/><Relationship Id="rId71" Type="http://schemas.openxmlformats.org/officeDocument/2006/relationships/hyperlink" Target="mailto:chase.huber@devcowa.com" TargetMode="External"/><Relationship Id="rId2" Type="http://schemas.openxmlformats.org/officeDocument/2006/relationships/hyperlink" Target="mailto:kirk@a-developers.com" TargetMode="External"/><Relationship Id="rId29" Type="http://schemas.openxmlformats.org/officeDocument/2006/relationships/hyperlink" Target="mailto:alex@housing-solutions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7A94C-B004-4079-B391-2E299430F9C6}">
  <dimension ref="A1:BX580"/>
  <sheetViews>
    <sheetView tabSelected="1" workbookViewId="0">
      <selection activeCell="BQ13" sqref="BQ13"/>
    </sheetView>
  </sheetViews>
  <sheetFormatPr defaultColWidth="11.42578125" defaultRowHeight="12.75" x14ac:dyDescent="0.2"/>
  <cols>
    <col min="1" max="1" width="14.140625" style="34" customWidth="1"/>
    <col min="2" max="2" width="13.140625" style="24" bestFit="1" customWidth="1"/>
    <col min="3" max="3" width="15.42578125" style="24" bestFit="1" customWidth="1"/>
    <col min="4" max="4" width="46.28515625" style="25" customWidth="1"/>
    <col min="5" max="5" width="45.7109375" style="25" customWidth="1"/>
    <col min="6" max="6" width="34" style="25" customWidth="1"/>
    <col min="7" max="7" width="10.28515625" style="26" customWidth="1"/>
    <col min="8" max="9" width="14.140625" style="27" customWidth="1"/>
    <col min="10" max="10" width="23.85546875" style="25" customWidth="1"/>
    <col min="11" max="11" width="9.5703125" style="26" customWidth="1"/>
    <col min="12" max="12" width="14.42578125" style="24" customWidth="1"/>
    <col min="13" max="13" width="17.28515625" style="25" customWidth="1"/>
    <col min="14" max="14" width="13" style="24" customWidth="1"/>
    <col min="15" max="15" width="10.42578125" style="29" customWidth="1"/>
    <col min="16" max="16" width="11.42578125" style="24"/>
    <col min="17" max="18" width="19.5703125" style="54" customWidth="1"/>
    <col min="19" max="19" width="15.42578125" style="54" customWidth="1"/>
    <col min="20" max="20" width="15.140625" style="54" customWidth="1"/>
    <col min="21" max="21" width="12.85546875" style="32" customWidth="1"/>
    <col min="22" max="22" width="6.7109375" style="33" customWidth="1"/>
    <col min="23" max="25" width="17.85546875" style="34" customWidth="1"/>
    <col min="26" max="26" width="16.5703125" style="35" customWidth="1"/>
    <col min="27" max="27" width="9" style="36" customWidth="1"/>
    <col min="28" max="28" width="14.5703125" style="35" customWidth="1"/>
    <col min="29" max="29" width="42.7109375" style="25" customWidth="1"/>
    <col min="30" max="30" width="29" style="25" customWidth="1"/>
    <col min="31" max="31" width="31.7109375" style="25" customWidth="1"/>
    <col min="32" max="32" width="15.85546875" style="25" customWidth="1"/>
    <col min="33" max="33" width="5.5703125" style="25" customWidth="1"/>
    <col min="34" max="34" width="5.85546875" style="25" customWidth="1"/>
    <col min="35" max="35" width="35" style="25" customWidth="1"/>
    <col min="36" max="36" width="14.42578125" style="25" customWidth="1"/>
    <col min="37" max="37" width="10.7109375" style="42" customWidth="1"/>
    <col min="38" max="38" width="10.7109375" style="24" customWidth="1"/>
    <col min="39" max="39" width="7.42578125" style="25" customWidth="1"/>
    <col min="40" max="40" width="7.140625" style="25" customWidth="1"/>
    <col min="41" max="41" width="8.7109375" style="25" customWidth="1"/>
    <col min="42" max="42" width="8.42578125" style="25" customWidth="1"/>
    <col min="43" max="46" width="8.5703125" style="25" customWidth="1"/>
    <col min="47" max="47" width="7" style="25" customWidth="1"/>
    <col min="48" max="48" width="6.5703125" style="25" customWidth="1"/>
    <col min="49" max="49" width="14.42578125" style="24" customWidth="1"/>
    <col min="50" max="57" width="11.42578125" style="24"/>
    <col min="58" max="60" width="11.42578125" style="25"/>
    <col min="61" max="61" width="2.42578125" style="25" customWidth="1"/>
    <col min="62" max="62" width="11.42578125" style="40"/>
    <col min="63" max="63" width="11.28515625" style="40" customWidth="1"/>
    <col min="64" max="64" width="16.28515625" style="31" customWidth="1"/>
    <col min="65" max="68" width="11.42578125" style="40"/>
    <col min="69" max="69" width="21.28515625" style="25" customWidth="1"/>
    <col min="70" max="70" width="6.7109375" style="25" customWidth="1"/>
    <col min="71" max="16384" width="11.42578125" style="25"/>
  </cols>
  <sheetData>
    <row r="1" spans="1:76" s="15" customFormat="1" ht="66.75" customHeight="1" x14ac:dyDescent="0.2">
      <c r="A1" s="2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6" t="s">
        <v>7</v>
      </c>
      <c r="I1" s="6" t="s">
        <v>8</v>
      </c>
      <c r="J1" s="4" t="s">
        <v>9</v>
      </c>
      <c r="K1" s="7" t="s">
        <v>10</v>
      </c>
      <c r="L1" s="8" t="s">
        <v>11</v>
      </c>
      <c r="M1" s="9" t="s">
        <v>12</v>
      </c>
      <c r="N1" s="9" t="s">
        <v>13</v>
      </c>
      <c r="O1" s="10" t="s">
        <v>14</v>
      </c>
      <c r="P1" s="3" t="s">
        <v>15</v>
      </c>
      <c r="Q1" s="11" t="s">
        <v>16</v>
      </c>
      <c r="R1" s="12" t="s">
        <v>17</v>
      </c>
      <c r="S1" s="12" t="s">
        <v>18</v>
      </c>
      <c r="T1" s="11" t="s">
        <v>19</v>
      </c>
      <c r="U1" s="13" t="s">
        <v>20</v>
      </c>
      <c r="V1" s="14" t="s">
        <v>21</v>
      </c>
      <c r="W1" s="16" t="s">
        <v>22</v>
      </c>
      <c r="X1" s="16" t="s">
        <v>23</v>
      </c>
      <c r="Y1" s="16" t="s">
        <v>24</v>
      </c>
      <c r="Z1" s="17" t="s">
        <v>25</v>
      </c>
      <c r="AA1" s="1" t="s">
        <v>26</v>
      </c>
      <c r="AB1" s="17" t="s">
        <v>27</v>
      </c>
      <c r="AC1" s="4" t="s">
        <v>28</v>
      </c>
      <c r="AD1" s="15" t="s">
        <v>29</v>
      </c>
      <c r="AE1" s="15" t="s">
        <v>30</v>
      </c>
      <c r="AF1" s="15" t="s">
        <v>5</v>
      </c>
      <c r="AG1" s="15" t="s">
        <v>31</v>
      </c>
      <c r="AH1" s="15" t="s">
        <v>32</v>
      </c>
      <c r="AI1" s="15" t="s">
        <v>33</v>
      </c>
      <c r="AJ1" s="15" t="s">
        <v>34</v>
      </c>
      <c r="AK1" s="18" t="s">
        <v>35</v>
      </c>
      <c r="AL1" s="3" t="s">
        <v>36</v>
      </c>
      <c r="AM1" s="19" t="s">
        <v>37</v>
      </c>
      <c r="AN1" s="19" t="s">
        <v>38</v>
      </c>
      <c r="AO1" s="15" t="s">
        <v>39</v>
      </c>
      <c r="AP1" s="15" t="s">
        <v>40</v>
      </c>
      <c r="AQ1" s="15" t="s">
        <v>41</v>
      </c>
      <c r="AR1" s="15" t="s">
        <v>42</v>
      </c>
      <c r="AS1" s="15" t="s">
        <v>43</v>
      </c>
      <c r="AT1" s="15" t="s">
        <v>44</v>
      </c>
      <c r="AU1" s="15" t="s">
        <v>45</v>
      </c>
      <c r="AV1" s="15" t="s">
        <v>46</v>
      </c>
      <c r="AW1" s="8" t="s">
        <v>47</v>
      </c>
      <c r="AX1" s="20">
        <v>0.2</v>
      </c>
      <c r="AY1" s="20">
        <v>0.3</v>
      </c>
      <c r="AZ1" s="20">
        <v>0.4</v>
      </c>
      <c r="BA1" s="20">
        <v>0.5</v>
      </c>
      <c r="BB1" s="20">
        <v>0.6</v>
      </c>
      <c r="BC1" s="20">
        <v>0.7</v>
      </c>
      <c r="BD1" s="20">
        <v>0.8</v>
      </c>
      <c r="BE1" s="20" t="s">
        <v>48</v>
      </c>
      <c r="BF1" s="15" t="s">
        <v>49</v>
      </c>
      <c r="BG1" s="15" t="s">
        <v>50</v>
      </c>
      <c r="BH1" s="15" t="s">
        <v>51</v>
      </c>
      <c r="BJ1" s="21" t="s">
        <v>52</v>
      </c>
      <c r="BK1" s="3" t="s">
        <v>53</v>
      </c>
      <c r="BL1" s="3" t="s">
        <v>54</v>
      </c>
      <c r="BM1" s="21"/>
      <c r="BN1" s="21"/>
      <c r="BO1" s="21"/>
      <c r="BP1" s="21"/>
      <c r="BS1" s="19"/>
      <c r="BT1" s="19"/>
      <c r="BU1" s="19"/>
      <c r="BV1" s="19"/>
      <c r="BW1" s="19"/>
    </row>
    <row r="2" spans="1:76" x14ac:dyDescent="0.2">
      <c r="A2" s="22"/>
      <c r="B2" s="23"/>
      <c r="K2" s="28"/>
      <c r="Q2" s="30"/>
      <c r="R2" s="31"/>
      <c r="S2" s="31"/>
      <c r="T2" s="30"/>
      <c r="AI2" s="37"/>
      <c r="AK2" s="38"/>
      <c r="AL2" s="23"/>
      <c r="BH2" s="39"/>
    </row>
    <row r="3" spans="1:76" ht="15" customHeight="1" x14ac:dyDescent="0.2">
      <c r="C3" s="24" t="s">
        <v>55</v>
      </c>
      <c r="D3" s="25" t="s">
        <v>56</v>
      </c>
      <c r="E3" s="25" t="s">
        <v>57</v>
      </c>
      <c r="F3" s="25" t="s">
        <v>58</v>
      </c>
      <c r="G3" s="26">
        <v>59911</v>
      </c>
      <c r="H3" s="27">
        <v>48.069420000000001</v>
      </c>
      <c r="I3" s="27">
        <v>-114.0818</v>
      </c>
      <c r="J3" s="25" t="s">
        <v>59</v>
      </c>
      <c r="K3" s="28">
        <v>0.04</v>
      </c>
      <c r="L3" s="24" t="s">
        <v>60</v>
      </c>
      <c r="M3" s="25" t="s">
        <v>61</v>
      </c>
      <c r="N3" s="24" t="s">
        <v>62</v>
      </c>
      <c r="O3" s="29">
        <v>24</v>
      </c>
      <c r="P3" s="24">
        <v>5</v>
      </c>
      <c r="Q3" s="30">
        <v>2614040</v>
      </c>
      <c r="R3" s="30">
        <v>2195754</v>
      </c>
      <c r="S3" s="30">
        <v>3100000</v>
      </c>
      <c r="T3" s="30">
        <v>1600000</v>
      </c>
      <c r="U3" s="32">
        <v>6.25E-2</v>
      </c>
      <c r="V3" s="33">
        <v>20</v>
      </c>
      <c r="AC3" s="25" t="s">
        <v>63</v>
      </c>
      <c r="AD3" s="25" t="s">
        <v>64</v>
      </c>
      <c r="AE3" s="25" t="s">
        <v>65</v>
      </c>
      <c r="AF3" s="25" t="s">
        <v>66</v>
      </c>
      <c r="AG3" s="25" t="s">
        <v>67</v>
      </c>
      <c r="AH3" s="25">
        <v>59901</v>
      </c>
      <c r="AI3" s="37" t="s">
        <v>68</v>
      </c>
      <c r="AJ3" s="41">
        <v>4062356593</v>
      </c>
      <c r="AK3" s="42">
        <v>522</v>
      </c>
      <c r="AL3" s="23">
        <f t="shared" ref="AL3:AL4" si="0">SUM(AM3:AV3)</f>
        <v>24</v>
      </c>
      <c r="AO3" s="25">
        <v>16</v>
      </c>
      <c r="AP3" s="25">
        <v>8</v>
      </c>
      <c r="AW3" s="24" t="s">
        <v>69</v>
      </c>
      <c r="AY3" s="24">
        <v>4</v>
      </c>
      <c r="BB3" s="24">
        <v>20</v>
      </c>
      <c r="BG3" s="25">
        <f>SUM(AX3:BF3)</f>
        <v>24</v>
      </c>
      <c r="BH3" s="39">
        <f>((AY3*AY$1)+(AZ3*AZ$1)+(BA3*BA$1)+(BB3*BB$1)+(BC3*BC$1)+(BD3*BD$1))/SUM(AY3:BD3)</f>
        <v>0.54999999999999993</v>
      </c>
      <c r="BJ3" s="40">
        <v>6208908</v>
      </c>
      <c r="BK3" s="40">
        <f>VLOOKUP(M3,[1]EconBenMult!$B$12:$D$14,2,TRUE)*(BJ3/1000000)</f>
        <v>48.181126079999999</v>
      </c>
      <c r="BL3" s="31">
        <f>VLOOKUP(M3,[1]EconBenMult!$B$12:$D$14,3,TRUE)*(BJ3/1000000)</f>
        <v>2658828.50338032</v>
      </c>
    </row>
    <row r="4" spans="1:76" ht="15" x14ac:dyDescent="0.25">
      <c r="A4" s="22"/>
      <c r="B4" s="23"/>
      <c r="C4" s="24" t="s">
        <v>55</v>
      </c>
      <c r="D4" s="25" t="s">
        <v>70</v>
      </c>
      <c r="E4" s="25" t="s">
        <v>71</v>
      </c>
      <c r="F4" s="25" t="s">
        <v>72</v>
      </c>
      <c r="G4" s="26">
        <v>59840</v>
      </c>
      <c r="H4" s="27">
        <v>46.249859999999998</v>
      </c>
      <c r="I4" s="27">
        <v>-114.17032</v>
      </c>
      <c r="J4" s="25" t="s">
        <v>73</v>
      </c>
      <c r="K4" s="28">
        <v>0.04</v>
      </c>
      <c r="L4" s="24" t="s">
        <v>74</v>
      </c>
      <c r="M4" s="25" t="s">
        <v>61</v>
      </c>
      <c r="N4" s="24" t="s">
        <v>75</v>
      </c>
      <c r="O4" s="29">
        <v>60</v>
      </c>
      <c r="P4" s="24">
        <v>1</v>
      </c>
      <c r="Q4" s="30">
        <v>3969300</v>
      </c>
      <c r="R4" s="31">
        <v>3413262</v>
      </c>
      <c r="S4" s="31">
        <v>7000000</v>
      </c>
      <c r="T4" s="30">
        <v>3450000</v>
      </c>
      <c r="U4" s="32">
        <v>7.7499999999999999E-2</v>
      </c>
      <c r="V4" s="33">
        <v>16</v>
      </c>
      <c r="AC4" s="25" t="s">
        <v>76</v>
      </c>
      <c r="AD4" s="25" t="s">
        <v>77</v>
      </c>
      <c r="AE4" s="25" t="s">
        <v>78</v>
      </c>
      <c r="AF4" s="25" t="s">
        <v>72</v>
      </c>
      <c r="AG4" s="25" t="s">
        <v>67</v>
      </c>
      <c r="AH4" s="25">
        <v>59840</v>
      </c>
      <c r="AI4" s="43" t="s">
        <v>79</v>
      </c>
      <c r="AJ4" s="41">
        <v>4063632800</v>
      </c>
      <c r="AK4" s="38">
        <v>195</v>
      </c>
      <c r="AL4" s="23">
        <f t="shared" si="0"/>
        <v>60</v>
      </c>
      <c r="AO4" s="25">
        <v>42</v>
      </c>
      <c r="AP4" s="25">
        <v>18</v>
      </c>
      <c r="AW4" s="24" t="s">
        <v>80</v>
      </c>
      <c r="AY4" s="24">
        <v>9</v>
      </c>
      <c r="BA4" s="24">
        <v>21</v>
      </c>
      <c r="BB4" s="24">
        <v>30</v>
      </c>
      <c r="BG4" s="25">
        <f t="shared" ref="BG4" si="1">SUM(AY4:BF4)</f>
        <v>60</v>
      </c>
      <c r="BH4" s="39">
        <f>((AY4*AY$1)+(AZ4*AZ$1)+(BA4*BA$1)+(BB4*BB$1)+(BC4*BC$1)+(BD4*BD$1))/SUM(AY4:BD4)</f>
        <v>0.52</v>
      </c>
      <c r="BJ4" s="40">
        <v>12106976</v>
      </c>
      <c r="BK4" s="40">
        <f>VLOOKUP(M4,[1]EconBenMult!$B$12:$D$14,2,TRUE)*(BJ4/1000000)</f>
        <v>93.95013376</v>
      </c>
      <c r="BL4" s="31">
        <f>VLOOKUP(M4,[1]EconBenMult!$B$12:$D$14,3,TRUE)*(BJ4/1000000)</f>
        <v>5184546.6028070394</v>
      </c>
    </row>
    <row r="5" spans="1:76" ht="15" x14ac:dyDescent="0.25">
      <c r="A5" s="22"/>
      <c r="B5" s="23">
        <v>2024</v>
      </c>
      <c r="C5" s="24" t="s">
        <v>55</v>
      </c>
      <c r="D5" s="44" t="s">
        <v>81</v>
      </c>
      <c r="E5" s="25" t="s">
        <v>82</v>
      </c>
      <c r="F5" s="44" t="s">
        <v>83</v>
      </c>
      <c r="G5" s="26">
        <v>59401</v>
      </c>
      <c r="H5" s="27">
        <v>47.504930000000002</v>
      </c>
      <c r="I5" s="27">
        <v>-111.2975</v>
      </c>
      <c r="J5" s="44" t="s">
        <v>84</v>
      </c>
      <c r="K5" s="45">
        <v>0.09</v>
      </c>
      <c r="L5" s="46" t="s">
        <v>74</v>
      </c>
      <c r="M5" s="25" t="s">
        <v>61</v>
      </c>
      <c r="N5" s="47" t="s">
        <v>62</v>
      </c>
      <c r="O5" s="29">
        <v>60</v>
      </c>
      <c r="P5" s="24">
        <v>1</v>
      </c>
      <c r="Q5" s="30">
        <v>6500000</v>
      </c>
      <c r="R5" s="31">
        <v>5621937</v>
      </c>
      <c r="S5" s="31"/>
      <c r="T5" s="30"/>
      <c r="U5" s="48"/>
      <c r="AC5" s="25" t="s">
        <v>85</v>
      </c>
      <c r="AD5" s="25" t="s">
        <v>86</v>
      </c>
      <c r="AE5" s="25" t="s">
        <v>87</v>
      </c>
      <c r="AF5" s="25" t="s">
        <v>88</v>
      </c>
      <c r="AG5" s="25" t="s">
        <v>89</v>
      </c>
      <c r="AH5" s="25">
        <v>92614</v>
      </c>
      <c r="AI5" s="43" t="s">
        <v>90</v>
      </c>
      <c r="AJ5" s="41">
        <v>2099814595</v>
      </c>
      <c r="AK5" s="38">
        <v>676</v>
      </c>
      <c r="AL5" s="23">
        <f t="shared" ref="AL5:AL11" si="2">SUM(AM5:AV5)</f>
        <v>60</v>
      </c>
      <c r="AO5" s="25">
        <v>29</v>
      </c>
      <c r="AP5" s="25">
        <v>30</v>
      </c>
      <c r="AV5" s="25">
        <v>1</v>
      </c>
      <c r="AW5" s="24" t="s">
        <v>80</v>
      </c>
      <c r="AZ5" s="24">
        <v>59</v>
      </c>
      <c r="BF5" s="25">
        <v>1</v>
      </c>
      <c r="BG5" s="25">
        <f t="shared" ref="BG5:BG11" si="3">SUM(AY5:BF5)</f>
        <v>60</v>
      </c>
      <c r="BH5" s="39">
        <f t="shared" ref="BH5:BH11" si="4">((AY5*AY$1)+(AZ5*AZ$1)+(BA5*BA$1)+(BB5*BB$1)+(BC5*BC$1)+(BD5*BD$1))/SUM(AY5:BD5)</f>
        <v>0.4</v>
      </c>
      <c r="BJ5" s="40">
        <v>12459340</v>
      </c>
      <c r="BK5" s="40">
        <f>VLOOKUP(M5,[1]EconBenMult!$B$12:$D$14,2,TRUE)*(BJ5/1000000)</f>
        <v>96.684478399999989</v>
      </c>
      <c r="BL5" s="31">
        <f>VLOOKUP(M5,[1]EconBenMult!$B$12:$D$14,3,TRUE)*(BJ5/1000000)</f>
        <v>5335438.7478935998</v>
      </c>
      <c r="BR5" s="49"/>
      <c r="BS5" s="175"/>
      <c r="BT5" s="175"/>
      <c r="BU5" s="175"/>
      <c r="BV5" s="175"/>
      <c r="BW5" s="32"/>
      <c r="BX5" s="33"/>
    </row>
    <row r="6" spans="1:76" ht="15" x14ac:dyDescent="0.25">
      <c r="A6" s="22"/>
      <c r="B6" s="23">
        <v>2024</v>
      </c>
      <c r="C6" s="24" t="s">
        <v>55</v>
      </c>
      <c r="D6" s="44" t="s">
        <v>91</v>
      </c>
      <c r="E6" s="25" t="s">
        <v>92</v>
      </c>
      <c r="F6" s="25" t="s">
        <v>93</v>
      </c>
      <c r="G6" s="26">
        <v>59715</v>
      </c>
      <c r="H6" s="27">
        <v>45.68694</v>
      </c>
      <c r="I6" s="27">
        <v>-111.04581</v>
      </c>
      <c r="J6" s="25" t="s">
        <v>94</v>
      </c>
      <c r="K6" s="28">
        <v>0.09</v>
      </c>
      <c r="L6" s="24" t="s">
        <v>60</v>
      </c>
      <c r="M6" s="25" t="s">
        <v>95</v>
      </c>
      <c r="N6" s="24" t="s">
        <v>62</v>
      </c>
      <c r="O6" s="29">
        <v>23</v>
      </c>
      <c r="P6" s="24">
        <v>1</v>
      </c>
      <c r="Q6" s="30">
        <v>6350000</v>
      </c>
      <c r="R6" s="31">
        <v>5670000</v>
      </c>
      <c r="S6" s="31"/>
      <c r="T6" s="30"/>
      <c r="U6" s="48"/>
      <c r="AC6" s="25" t="s">
        <v>96</v>
      </c>
      <c r="AD6" s="25" t="s">
        <v>97</v>
      </c>
      <c r="AE6" s="25" t="s">
        <v>98</v>
      </c>
      <c r="AF6" s="25" t="s">
        <v>93</v>
      </c>
      <c r="AG6" s="25" t="s">
        <v>67</v>
      </c>
      <c r="AH6" s="25">
        <v>59771</v>
      </c>
      <c r="AI6" s="43" t="s">
        <v>99</v>
      </c>
      <c r="AJ6" s="41">
        <v>5037849411</v>
      </c>
      <c r="AK6" s="38">
        <v>1688</v>
      </c>
      <c r="AL6" s="23">
        <f t="shared" si="2"/>
        <v>23</v>
      </c>
      <c r="AO6" s="25">
        <v>14</v>
      </c>
      <c r="AP6" s="25">
        <v>5</v>
      </c>
      <c r="AQ6" s="25">
        <v>4</v>
      </c>
      <c r="AW6" s="24" t="s">
        <v>51</v>
      </c>
      <c r="BA6" s="24">
        <v>17</v>
      </c>
      <c r="BB6" s="24">
        <v>6</v>
      </c>
      <c r="BG6" s="25">
        <f t="shared" si="3"/>
        <v>23</v>
      </c>
      <c r="BH6" s="39">
        <f t="shared" si="4"/>
        <v>0.52608695652173909</v>
      </c>
      <c r="BJ6" s="40">
        <v>6670000</v>
      </c>
      <c r="BK6" s="40">
        <f>VLOOKUP(M6,[1]EconBenMult!$B$12:$D$14,2,TRUE)*(BJ6/1000000)</f>
        <v>80.240099999999998</v>
      </c>
      <c r="BL6" s="31">
        <f>VLOOKUP(M6,[1]EconBenMult!$B$12:$D$14,3,TRUE)*(BJ6/1000000)</f>
        <v>4663856.4294999996</v>
      </c>
      <c r="BQ6" s="50"/>
      <c r="BR6" s="51"/>
      <c r="BS6" s="176"/>
      <c r="BT6" s="176"/>
      <c r="BU6" s="176"/>
      <c r="BV6" s="176"/>
      <c r="BW6" s="53"/>
      <c r="BX6" s="33"/>
    </row>
    <row r="7" spans="1:76" ht="15" x14ac:dyDescent="0.25">
      <c r="A7" s="22"/>
      <c r="B7" s="23">
        <v>2024</v>
      </c>
      <c r="C7" s="24" t="s">
        <v>55</v>
      </c>
      <c r="D7" s="44" t="s">
        <v>100</v>
      </c>
      <c r="E7" s="25" t="s">
        <v>92</v>
      </c>
      <c r="F7" s="25" t="s">
        <v>93</v>
      </c>
      <c r="G7" s="26">
        <v>59715</v>
      </c>
      <c r="H7" s="27">
        <v>45.68694</v>
      </c>
      <c r="I7" s="27">
        <v>-111.04581</v>
      </c>
      <c r="J7" s="25" t="s">
        <v>94</v>
      </c>
      <c r="K7" s="28">
        <v>0.04</v>
      </c>
      <c r="L7" s="24" t="s">
        <v>60</v>
      </c>
      <c r="M7" s="25" t="s">
        <v>95</v>
      </c>
      <c r="N7" s="24" t="s">
        <v>62</v>
      </c>
      <c r="O7" s="29">
        <v>17</v>
      </c>
      <c r="P7" s="24">
        <v>1</v>
      </c>
      <c r="Q7" s="30">
        <v>2097880</v>
      </c>
      <c r="R7" s="31">
        <v>1890000</v>
      </c>
      <c r="S7" s="31"/>
      <c r="T7" s="30"/>
      <c r="U7" s="48"/>
      <c r="AC7" s="25" t="s">
        <v>96</v>
      </c>
      <c r="AD7" s="25" t="s">
        <v>97</v>
      </c>
      <c r="AE7" s="25" t="s">
        <v>98</v>
      </c>
      <c r="AF7" s="25" t="s">
        <v>93</v>
      </c>
      <c r="AG7" s="25" t="s">
        <v>67</v>
      </c>
      <c r="AH7" s="25">
        <v>59771</v>
      </c>
      <c r="AI7" s="43" t="s">
        <v>99</v>
      </c>
      <c r="AJ7" s="41">
        <v>5037849411</v>
      </c>
      <c r="AK7" s="38">
        <v>1668</v>
      </c>
      <c r="AL7" s="23">
        <f>SUM(AM7:AV7)</f>
        <v>17</v>
      </c>
      <c r="AO7" s="25">
        <v>10</v>
      </c>
      <c r="AP7" s="25">
        <v>5</v>
      </c>
      <c r="AQ7" s="25">
        <v>2</v>
      </c>
      <c r="AW7" s="24" t="s">
        <v>80</v>
      </c>
      <c r="BB7" s="24">
        <v>17</v>
      </c>
      <c r="BG7" s="25">
        <f>SUM(AY7:BF7)</f>
        <v>17</v>
      </c>
      <c r="BH7" s="39">
        <f>((AY7*AY$1)+(AZ7*AZ$1)+(BA7*BA$1)+(BB7*BB$1)+(BC7*BC$1)+(BD7*BD$1))/SUM(AY7:BD7)</f>
        <v>0.6</v>
      </c>
      <c r="BJ7" s="40">
        <v>4930000</v>
      </c>
      <c r="BK7" s="40">
        <f>VLOOKUP(M7,[1]EconBenMult!$B$12:$D$14,2,TRUE)*(BJ7/1000000)</f>
        <v>59.307899999999997</v>
      </c>
      <c r="BL7" s="31">
        <f>VLOOKUP(M7,[1]EconBenMult!$B$12:$D$14,3,TRUE)*(BJ7/1000000)</f>
        <v>3447198.2304999996</v>
      </c>
      <c r="BQ7" s="50"/>
      <c r="BR7" s="51"/>
      <c r="BS7" s="176"/>
      <c r="BT7" s="176"/>
      <c r="BU7" s="176"/>
      <c r="BV7" s="176"/>
      <c r="BW7" s="53"/>
      <c r="BX7" s="33"/>
    </row>
    <row r="8" spans="1:76" x14ac:dyDescent="0.2">
      <c r="A8" s="22"/>
      <c r="B8" s="23">
        <v>2024</v>
      </c>
      <c r="C8" s="24" t="s">
        <v>55</v>
      </c>
      <c r="D8" s="25" t="s">
        <v>101</v>
      </c>
      <c r="E8" s="25" t="s">
        <v>102</v>
      </c>
      <c r="F8" s="25" t="s">
        <v>103</v>
      </c>
      <c r="G8" s="26">
        <v>59601</v>
      </c>
      <c r="H8" s="26">
        <v>46.588320000000003</v>
      </c>
      <c r="I8" s="27">
        <v>-111.96617999999999</v>
      </c>
      <c r="J8" s="25" t="s">
        <v>104</v>
      </c>
      <c r="K8" s="28">
        <v>0.09</v>
      </c>
      <c r="L8" s="24" t="s">
        <v>60</v>
      </c>
      <c r="M8" s="25" t="s">
        <v>95</v>
      </c>
      <c r="N8" s="24" t="s">
        <v>62</v>
      </c>
      <c r="O8" s="29">
        <v>20</v>
      </c>
      <c r="P8" s="24">
        <v>1</v>
      </c>
      <c r="Q8" s="30">
        <v>6500000</v>
      </c>
      <c r="R8" s="31">
        <v>5524446</v>
      </c>
      <c r="S8" s="31"/>
      <c r="T8" s="30"/>
      <c r="U8" s="48">
        <v>3.8324999999999998E-2</v>
      </c>
      <c r="V8" s="33">
        <v>16</v>
      </c>
      <c r="AC8" s="25" t="s">
        <v>105</v>
      </c>
      <c r="AD8" s="25" t="s">
        <v>106</v>
      </c>
      <c r="AE8" s="25" t="s">
        <v>107</v>
      </c>
      <c r="AF8" s="25" t="s">
        <v>108</v>
      </c>
      <c r="AG8" s="25" t="s">
        <v>67</v>
      </c>
      <c r="AH8" s="25">
        <v>59801</v>
      </c>
      <c r="AI8" s="37" t="s">
        <v>109</v>
      </c>
      <c r="AJ8" s="41">
        <v>4065314745</v>
      </c>
      <c r="AK8" s="38">
        <v>810</v>
      </c>
      <c r="AL8" s="23">
        <f>SUM(AM8:AV8)</f>
        <v>20</v>
      </c>
      <c r="AO8" s="25">
        <v>20</v>
      </c>
      <c r="AW8" s="24" t="s">
        <v>51</v>
      </c>
      <c r="BB8" s="24">
        <v>20</v>
      </c>
      <c r="BG8" s="25">
        <f>SUM(AY8:BF8)</f>
        <v>20</v>
      </c>
      <c r="BH8" s="39">
        <f>((AY8*AY$1)+(AZ8*AZ$1)+(BA8*BA$1)+(BB8*BB$1)+(BC8*BC$1)+(BD8*BD$1))/SUM(AY8:BD8)</f>
        <v>0.6</v>
      </c>
      <c r="BJ8" s="40">
        <v>6002691</v>
      </c>
      <c r="BK8" s="40">
        <f>VLOOKUP(M8,[1]EconBenMult!$B$12:$D$14,2,TRUE)*(BJ8/1000000)</f>
        <v>72.212372729999998</v>
      </c>
      <c r="BL8" s="31">
        <f>VLOOKUP(M8,[1]EconBenMult!$B$12:$D$14,3,TRUE)*(BJ8/1000000)</f>
        <v>4197254.7248353502</v>
      </c>
      <c r="BR8" s="49"/>
      <c r="BS8" s="175"/>
      <c r="BT8" s="175"/>
      <c r="BU8" s="175"/>
      <c r="BV8" s="175"/>
      <c r="BW8" s="32"/>
      <c r="BX8" s="33"/>
    </row>
    <row r="9" spans="1:76" x14ac:dyDescent="0.2">
      <c r="A9" s="22"/>
      <c r="B9" s="23">
        <v>2024</v>
      </c>
      <c r="C9" s="24" t="s">
        <v>55</v>
      </c>
      <c r="D9" s="25" t="s">
        <v>110</v>
      </c>
      <c r="E9" s="25" t="s">
        <v>102</v>
      </c>
      <c r="F9" s="25" t="s">
        <v>103</v>
      </c>
      <c r="G9" s="26">
        <v>59601</v>
      </c>
      <c r="H9" s="26">
        <v>46.588320000000003</v>
      </c>
      <c r="I9" s="27">
        <v>-111.96617999999999</v>
      </c>
      <c r="J9" s="25" t="s">
        <v>104</v>
      </c>
      <c r="K9" s="28">
        <v>0.04</v>
      </c>
      <c r="L9" s="24" t="s">
        <v>60</v>
      </c>
      <c r="M9" s="25" t="s">
        <v>95</v>
      </c>
      <c r="N9" s="24" t="s">
        <v>62</v>
      </c>
      <c r="O9" s="29">
        <v>52</v>
      </c>
      <c r="P9" s="24">
        <v>2</v>
      </c>
      <c r="Q9" s="30">
        <v>5926220</v>
      </c>
      <c r="R9" s="31">
        <v>5036783</v>
      </c>
      <c r="S9" s="31"/>
      <c r="T9" s="30"/>
      <c r="U9" s="48">
        <v>3.8324999999999998E-2</v>
      </c>
      <c r="V9" s="33">
        <v>20</v>
      </c>
      <c r="AC9" s="25" t="s">
        <v>105</v>
      </c>
      <c r="AD9" s="25" t="s">
        <v>106</v>
      </c>
      <c r="AE9" s="25" t="s">
        <v>107</v>
      </c>
      <c r="AF9" s="25" t="s">
        <v>108</v>
      </c>
      <c r="AG9" s="25" t="s">
        <v>67</v>
      </c>
      <c r="AH9" s="25">
        <v>59801</v>
      </c>
      <c r="AI9" s="37" t="s">
        <v>109</v>
      </c>
      <c r="AJ9" s="41">
        <v>4065314745</v>
      </c>
      <c r="AK9" s="38">
        <v>810</v>
      </c>
      <c r="AL9" s="23">
        <f>SUM(AM9:AV9)</f>
        <v>52</v>
      </c>
      <c r="AO9" s="25">
        <v>24</v>
      </c>
      <c r="AP9" s="25">
        <v>16</v>
      </c>
      <c r="AQ9" s="25">
        <v>12</v>
      </c>
      <c r="AW9" s="24" t="s">
        <v>51</v>
      </c>
      <c r="AY9" s="24">
        <v>12</v>
      </c>
      <c r="BB9" s="24">
        <v>4</v>
      </c>
      <c r="BC9" s="24">
        <v>36</v>
      </c>
      <c r="BG9" s="25">
        <f>SUM(AY9:BF9)</f>
        <v>52</v>
      </c>
      <c r="BH9" s="39">
        <f>((AY9*AY$1)+(AZ9*AZ$1)+(BA9*BA$1)+(BB9*BB$1)+(BC9*BC$1)+(BD9*BD$1))/SUM(AY9:BD9)</f>
        <v>0.6</v>
      </c>
      <c r="BJ9" s="40">
        <v>16702104</v>
      </c>
      <c r="BK9" s="40">
        <f>VLOOKUP(M9,[1]EconBenMult!$B$12:$D$14,2,TRUE)*(BJ9/1000000)</f>
        <v>200.92631111999998</v>
      </c>
      <c r="BL9" s="31">
        <f>VLOOKUP(M9,[1]EconBenMult!$B$12:$D$14,3,TRUE)*(BJ9/1000000)</f>
        <v>11678592.972500399</v>
      </c>
      <c r="BR9" s="49"/>
      <c r="BS9" s="32"/>
      <c r="BT9" s="32"/>
      <c r="BU9" s="32"/>
      <c r="BV9" s="32"/>
      <c r="BW9" s="32"/>
      <c r="BX9" s="33"/>
    </row>
    <row r="10" spans="1:76" ht="15" customHeight="1" x14ac:dyDescent="0.2">
      <c r="B10" s="24">
        <v>2024</v>
      </c>
      <c r="C10" s="24" t="s">
        <v>55</v>
      </c>
      <c r="D10" s="25" t="s">
        <v>111</v>
      </c>
      <c r="E10" s="25" t="s">
        <v>112</v>
      </c>
      <c r="F10" s="25" t="s">
        <v>113</v>
      </c>
      <c r="G10" s="26">
        <v>59101</v>
      </c>
      <c r="H10" s="27">
        <v>45.761710000000001</v>
      </c>
      <c r="I10" s="27">
        <v>-108.51721000000001</v>
      </c>
      <c r="J10" s="25" t="s">
        <v>114</v>
      </c>
      <c r="K10" s="28">
        <v>0.09</v>
      </c>
      <c r="L10" s="24" t="s">
        <v>60</v>
      </c>
      <c r="M10" s="25" t="s">
        <v>95</v>
      </c>
      <c r="N10" s="24" t="s">
        <v>62</v>
      </c>
      <c r="O10" s="29">
        <v>32</v>
      </c>
      <c r="P10" s="24">
        <v>5</v>
      </c>
      <c r="Q10" s="30">
        <v>6500000</v>
      </c>
      <c r="R10" s="30">
        <v>5394461</v>
      </c>
      <c r="S10" s="30"/>
      <c r="T10" s="30"/>
      <c r="U10" s="48">
        <v>3.8324999999999998E-2</v>
      </c>
      <c r="V10" s="33">
        <v>20</v>
      </c>
      <c r="AC10" s="25" t="s">
        <v>115</v>
      </c>
      <c r="AD10" s="25" t="s">
        <v>116</v>
      </c>
      <c r="AE10" s="25" t="s">
        <v>117</v>
      </c>
      <c r="AF10" s="25" t="s">
        <v>103</v>
      </c>
      <c r="AG10" s="25" t="s">
        <v>67</v>
      </c>
      <c r="AH10" s="25">
        <v>59601</v>
      </c>
      <c r="AI10" s="37" t="s">
        <v>118</v>
      </c>
      <c r="AJ10" s="41">
        <v>4064595332</v>
      </c>
      <c r="AK10" s="42">
        <v>1131</v>
      </c>
      <c r="AL10" s="23">
        <f>SUM(AM10:AV10)</f>
        <v>32</v>
      </c>
      <c r="AO10" s="25">
        <v>14</v>
      </c>
      <c r="AP10" s="25">
        <v>14</v>
      </c>
      <c r="AQ10" s="25">
        <v>4</v>
      </c>
      <c r="AW10" s="24" t="s">
        <v>80</v>
      </c>
      <c r="BA10" s="24">
        <v>23</v>
      </c>
      <c r="BB10" s="24">
        <v>9</v>
      </c>
      <c r="BG10" s="25">
        <f>SUM(AY10:BF10)</f>
        <v>32</v>
      </c>
      <c r="BH10" s="39">
        <f>((AY10*AY$1)+(AZ10*AZ$1)+(BA10*BA$1)+(BB10*BB$1)+(BC10*BC$1)+(BD10*BD$1))/SUM(AY10:BD10)</f>
        <v>0.52812499999999996</v>
      </c>
      <c r="BJ10" s="40">
        <v>11176278</v>
      </c>
      <c r="BK10" s="40">
        <f>VLOOKUP(M10,[1]EconBenMult!$B$12:$D$14,2,TRUE)*(BJ10/1000000)</f>
        <v>134.45062433999999</v>
      </c>
      <c r="BL10" s="31">
        <f>VLOOKUP(M10,[1]EconBenMult!$B$12:$D$14,3,TRUE)*(BJ10/1000000)</f>
        <v>7814776.0132203</v>
      </c>
      <c r="BR10" s="49"/>
      <c r="BS10" s="32"/>
      <c r="BT10" s="32"/>
      <c r="BU10" s="32"/>
      <c r="BV10" s="32"/>
      <c r="BW10" s="32"/>
      <c r="BX10" s="33"/>
    </row>
    <row r="11" spans="1:76" x14ac:dyDescent="0.2">
      <c r="A11" s="22"/>
      <c r="B11" s="23">
        <v>2024</v>
      </c>
      <c r="C11" s="24" t="s">
        <v>55</v>
      </c>
      <c r="D11" s="44" t="s">
        <v>119</v>
      </c>
      <c r="E11" s="25" t="s">
        <v>120</v>
      </c>
      <c r="F11" s="25" t="s">
        <v>72</v>
      </c>
      <c r="G11" s="26">
        <v>59840</v>
      </c>
      <c r="H11" s="27">
        <v>46.249830000000003</v>
      </c>
      <c r="I11" s="27">
        <v>-114.15173</v>
      </c>
      <c r="J11" s="44" t="s">
        <v>73</v>
      </c>
      <c r="K11" s="45">
        <v>0.09</v>
      </c>
      <c r="L11" s="46" t="s">
        <v>60</v>
      </c>
      <c r="M11" s="25" t="s">
        <v>95</v>
      </c>
      <c r="N11" s="47" t="s">
        <v>75</v>
      </c>
      <c r="O11" s="29">
        <v>23</v>
      </c>
      <c r="P11" s="23">
        <v>1</v>
      </c>
      <c r="Q11" s="30">
        <v>6500000</v>
      </c>
      <c r="R11" s="31">
        <v>5426957</v>
      </c>
      <c r="S11" s="31"/>
      <c r="T11" s="30"/>
      <c r="U11" s="48">
        <v>3.8324999999999998E-2</v>
      </c>
      <c r="V11" s="33">
        <v>16</v>
      </c>
      <c r="AC11" s="25" t="s">
        <v>121</v>
      </c>
      <c r="AD11" s="25" t="s">
        <v>122</v>
      </c>
      <c r="AE11" s="25" t="s">
        <v>123</v>
      </c>
      <c r="AF11" s="25" t="s">
        <v>108</v>
      </c>
      <c r="AG11" s="25" t="s">
        <v>67</v>
      </c>
      <c r="AH11" s="25">
        <v>59806</v>
      </c>
      <c r="AI11" s="37" t="s">
        <v>124</v>
      </c>
      <c r="AJ11" s="41">
        <v>4062031558</v>
      </c>
      <c r="AK11" s="38">
        <v>148</v>
      </c>
      <c r="AL11" s="23">
        <f t="shared" si="2"/>
        <v>23</v>
      </c>
      <c r="AO11" s="25">
        <v>16</v>
      </c>
      <c r="AP11" s="25">
        <v>6</v>
      </c>
      <c r="AV11" s="25">
        <v>1</v>
      </c>
      <c r="AW11" s="24" t="s">
        <v>80</v>
      </c>
      <c r="AZ11" s="24">
        <v>3</v>
      </c>
      <c r="BA11" s="24">
        <v>11</v>
      </c>
      <c r="BB11" s="24">
        <v>8</v>
      </c>
      <c r="BF11" s="25">
        <v>1</v>
      </c>
      <c r="BG11" s="25">
        <f t="shared" si="3"/>
        <v>23</v>
      </c>
      <c r="BH11" s="39">
        <f t="shared" si="4"/>
        <v>0.52272727272727271</v>
      </c>
      <c r="BJ11" s="40">
        <v>6979519</v>
      </c>
      <c r="BK11" s="40">
        <f>VLOOKUP(M11,[1]EconBenMult!$B$12:$D$14,2,TRUE)*(BJ11/1000000)</f>
        <v>83.963613569999993</v>
      </c>
      <c r="BL11" s="31">
        <f>VLOOKUP(M11,[1]EconBenMult!$B$12:$D$14,3,TRUE)*(BJ11/1000000)</f>
        <v>4880281.0439231498</v>
      </c>
      <c r="BR11" s="49"/>
      <c r="BS11" s="32"/>
      <c r="BT11" s="32"/>
      <c r="BU11" s="32"/>
      <c r="BV11" s="32"/>
      <c r="BW11" s="32"/>
      <c r="BX11" s="33"/>
    </row>
    <row r="12" spans="1:76" x14ac:dyDescent="0.2">
      <c r="A12" s="22"/>
      <c r="B12" s="23">
        <v>2023</v>
      </c>
      <c r="C12" s="24" t="s">
        <v>181</v>
      </c>
      <c r="D12" s="25" t="s">
        <v>125</v>
      </c>
      <c r="E12" s="25" t="s">
        <v>126</v>
      </c>
      <c r="F12" s="25" t="s">
        <v>93</v>
      </c>
      <c r="G12" s="26">
        <v>59718</v>
      </c>
      <c r="H12" s="27">
        <v>45.699049044332298</v>
      </c>
      <c r="I12" s="27">
        <v>-111.07155540269601</v>
      </c>
      <c r="J12" s="25" t="s">
        <v>94</v>
      </c>
      <c r="K12" s="28">
        <v>0.04</v>
      </c>
      <c r="L12" s="24" t="s">
        <v>60</v>
      </c>
      <c r="M12" s="25" t="s">
        <v>61</v>
      </c>
      <c r="N12" s="24" t="s">
        <v>62</v>
      </c>
      <c r="O12" s="29">
        <v>50</v>
      </c>
      <c r="P12" s="24">
        <v>5</v>
      </c>
      <c r="Q12" s="30">
        <v>4693710</v>
      </c>
      <c r="R12" s="31">
        <v>4228735</v>
      </c>
      <c r="S12" s="31">
        <v>7500000</v>
      </c>
      <c r="T12" s="30">
        <v>550000</v>
      </c>
      <c r="U12" s="48">
        <v>6.0999999999999999E-2</v>
      </c>
      <c r="V12" s="33">
        <v>15</v>
      </c>
      <c r="AC12" s="25" t="s">
        <v>127</v>
      </c>
      <c r="AD12" s="25" t="s">
        <v>128</v>
      </c>
      <c r="AE12" s="25" t="s">
        <v>129</v>
      </c>
      <c r="AF12" s="25" t="s">
        <v>130</v>
      </c>
      <c r="AG12" s="25" t="s">
        <v>131</v>
      </c>
      <c r="AH12" s="25">
        <v>98004</v>
      </c>
      <c r="AI12" s="37" t="s">
        <v>132</v>
      </c>
      <c r="AJ12" s="41">
        <v>6122821977</v>
      </c>
      <c r="AK12" s="38">
        <v>3551</v>
      </c>
      <c r="AL12" s="23">
        <v>50</v>
      </c>
      <c r="AO12" s="25">
        <v>20</v>
      </c>
      <c r="AP12" s="25">
        <v>30</v>
      </c>
      <c r="AW12" s="24" t="s">
        <v>80</v>
      </c>
      <c r="BB12" s="24">
        <v>50</v>
      </c>
      <c r="BG12" s="25">
        <v>50</v>
      </c>
      <c r="BH12" s="39">
        <v>0.6</v>
      </c>
      <c r="BJ12" s="40">
        <v>13942393</v>
      </c>
      <c r="BK12" s="40">
        <f>VLOOKUP(M12,[1]EconBenMult!$B$12:$D$14,2,TRUE)*(BJ12/1000000)</f>
        <v>108.19296967999999</v>
      </c>
      <c r="BL12" s="31">
        <f>VLOOKUP(M12,[1]EconBenMult!$B$12:$D$14,3,TRUE)*(BJ12/1000000)</f>
        <v>5970523.6272997195</v>
      </c>
    </row>
    <row r="13" spans="1:76" x14ac:dyDescent="0.2">
      <c r="A13" s="22"/>
      <c r="B13" s="23">
        <v>2023</v>
      </c>
      <c r="C13" s="24" t="s">
        <v>181</v>
      </c>
      <c r="D13" s="25" t="s">
        <v>133</v>
      </c>
      <c r="E13" s="25" t="s">
        <v>134</v>
      </c>
      <c r="F13" s="25" t="s">
        <v>93</v>
      </c>
      <c r="G13" s="26">
        <v>59718</v>
      </c>
      <c r="H13" s="27">
        <v>45.686630000000001</v>
      </c>
      <c r="I13" s="27">
        <v>-111.04103000000001</v>
      </c>
      <c r="J13" s="25" t="s">
        <v>94</v>
      </c>
      <c r="K13" s="28">
        <v>0.04</v>
      </c>
      <c r="L13" s="24" t="s">
        <v>60</v>
      </c>
      <c r="M13" s="25" t="s">
        <v>95</v>
      </c>
      <c r="N13" s="24" t="s">
        <v>62</v>
      </c>
      <c r="O13" s="29">
        <v>216</v>
      </c>
      <c r="P13" s="24">
        <v>1</v>
      </c>
      <c r="Q13" s="30">
        <v>35558210</v>
      </c>
      <c r="R13" s="31">
        <v>31646806</v>
      </c>
      <c r="S13" s="31">
        <v>49000000</v>
      </c>
      <c r="T13" s="30">
        <v>26000000</v>
      </c>
      <c r="U13" s="32">
        <v>6.0400000000000002E-2</v>
      </c>
      <c r="V13" s="33">
        <v>30</v>
      </c>
      <c r="AC13" s="25" t="s">
        <v>127</v>
      </c>
      <c r="AD13" s="25" t="s">
        <v>128</v>
      </c>
      <c r="AE13" s="25" t="s">
        <v>129</v>
      </c>
      <c r="AF13" s="25" t="s">
        <v>130</v>
      </c>
      <c r="AG13" s="25" t="s">
        <v>131</v>
      </c>
      <c r="AH13" s="25">
        <v>98004</v>
      </c>
      <c r="AI13" s="37" t="s">
        <v>132</v>
      </c>
      <c r="AJ13" s="41">
        <v>4257360580</v>
      </c>
      <c r="AK13" s="38">
        <v>4952</v>
      </c>
      <c r="AL13" s="23">
        <f t="shared" ref="AL13:AL14" si="5">SUM(AM13:AV13)</f>
        <v>210</v>
      </c>
      <c r="AO13" s="25">
        <v>78</v>
      </c>
      <c r="AP13" s="25">
        <v>82</v>
      </c>
      <c r="AQ13" s="25">
        <v>43</v>
      </c>
      <c r="AR13" s="25">
        <v>7</v>
      </c>
      <c r="AW13" s="24" t="s">
        <v>51</v>
      </c>
      <c r="BB13" s="24">
        <v>216</v>
      </c>
      <c r="BG13" s="25">
        <f t="shared" ref="BG13:BG14" si="6">SUM(AX13:BF13)</f>
        <v>216</v>
      </c>
      <c r="BH13" s="39">
        <f t="shared" ref="BH13:BH20" si="7">((AY13*AY$1)+(AZ13*AZ$1)+(BA13*BA$1)+(BB13*BB$1)+(BC13*BC$1)+(BD13*BD$1))/SUM(AY13:BD13)</f>
        <v>0.6</v>
      </c>
      <c r="BJ13" s="40">
        <v>73485712</v>
      </c>
      <c r="BK13" s="40">
        <f>VLOOKUP(M13,[1]EconBenMult!$B$12:$D$14,2,TRUE)*(BJ13/1000000)</f>
        <v>884.03311536000001</v>
      </c>
      <c r="BL13" s="31">
        <f>VLOOKUP(M13,[1]EconBenMult!$B$12:$D$14,3,TRUE)*(BJ13/1000000)</f>
        <v>51383329.893191203</v>
      </c>
    </row>
    <row r="14" spans="1:76" ht="15" x14ac:dyDescent="0.25">
      <c r="A14" s="22"/>
      <c r="B14" s="23">
        <v>2023</v>
      </c>
      <c r="C14" s="24" t="s">
        <v>181</v>
      </c>
      <c r="D14" s="25" t="s">
        <v>135</v>
      </c>
      <c r="E14" s="25" t="s">
        <v>136</v>
      </c>
      <c r="F14" s="25" t="s">
        <v>93</v>
      </c>
      <c r="G14" s="26">
        <v>59715</v>
      </c>
      <c r="H14" s="27">
        <v>45.695399999999999</v>
      </c>
      <c r="I14" s="27">
        <v>-111.05656</v>
      </c>
      <c r="J14" s="25" t="s">
        <v>94</v>
      </c>
      <c r="K14" s="28">
        <v>0.04</v>
      </c>
      <c r="L14" s="24" t="s">
        <v>60</v>
      </c>
      <c r="M14" s="25" t="s">
        <v>95</v>
      </c>
      <c r="N14" s="24" t="s">
        <v>62</v>
      </c>
      <c r="O14" s="29">
        <v>155</v>
      </c>
      <c r="P14" s="24">
        <v>1</v>
      </c>
      <c r="Q14" s="30">
        <v>23551220</v>
      </c>
      <c r="R14" s="31">
        <v>20487512</v>
      </c>
      <c r="S14" s="31">
        <v>26000000</v>
      </c>
      <c r="T14" s="30">
        <v>0</v>
      </c>
      <c r="U14" s="32">
        <v>0.04</v>
      </c>
      <c r="V14" s="33">
        <v>16</v>
      </c>
      <c r="AC14" s="25" t="s">
        <v>137</v>
      </c>
      <c r="AD14" s="25" t="s">
        <v>138</v>
      </c>
      <c r="AE14" s="25" t="s">
        <v>139</v>
      </c>
      <c r="AF14" s="25" t="s">
        <v>140</v>
      </c>
      <c r="AG14" s="25" t="s">
        <v>141</v>
      </c>
      <c r="AH14" s="25">
        <v>55416</v>
      </c>
      <c r="AI14" s="43" t="s">
        <v>142</v>
      </c>
      <c r="AJ14" s="41">
        <v>6122821977</v>
      </c>
      <c r="AK14" s="38">
        <v>3551</v>
      </c>
      <c r="AL14" s="23">
        <f t="shared" si="5"/>
        <v>155</v>
      </c>
      <c r="AO14" s="25">
        <v>67</v>
      </c>
      <c r="AP14" s="25">
        <v>43</v>
      </c>
      <c r="AQ14" s="25">
        <v>45</v>
      </c>
      <c r="AW14" s="24" t="s">
        <v>80</v>
      </c>
      <c r="BB14" s="24">
        <v>155</v>
      </c>
      <c r="BG14" s="25">
        <f t="shared" si="6"/>
        <v>155</v>
      </c>
      <c r="BH14" s="39">
        <f t="shared" si="7"/>
        <v>0.6</v>
      </c>
      <c r="BJ14" s="40">
        <v>51935664</v>
      </c>
      <c r="BK14" s="40">
        <f>VLOOKUP(M14,[1]EconBenMult!$B$12:$D$14,2,TRUE)*(BJ14/1000000)</f>
        <v>624.78603792000001</v>
      </c>
      <c r="BL14" s="31">
        <f>VLOOKUP(M14,[1]EconBenMult!$B$12:$D$14,3,TRUE)*(BJ14/1000000)</f>
        <v>36314914.6127064</v>
      </c>
    </row>
    <row r="15" spans="1:76" x14ac:dyDescent="0.2">
      <c r="A15" s="22">
        <v>45211</v>
      </c>
      <c r="B15" s="23">
        <v>2023</v>
      </c>
      <c r="C15" s="24" t="s">
        <v>2122</v>
      </c>
      <c r="D15" s="25" t="s">
        <v>143</v>
      </c>
      <c r="E15" s="25" t="s">
        <v>144</v>
      </c>
      <c r="F15" s="25" t="s">
        <v>145</v>
      </c>
      <c r="G15" s="26">
        <v>59501</v>
      </c>
      <c r="H15" s="27">
        <v>48.539270000000002</v>
      </c>
      <c r="I15" s="27">
        <v>-109.69504000000001</v>
      </c>
      <c r="J15" s="25" t="s">
        <v>146</v>
      </c>
      <c r="K15" s="28">
        <v>0.04</v>
      </c>
      <c r="L15" s="24" t="s">
        <v>147</v>
      </c>
      <c r="M15" s="25" t="s">
        <v>61</v>
      </c>
      <c r="N15" s="24" t="s">
        <v>62</v>
      </c>
      <c r="O15" s="29">
        <v>32</v>
      </c>
      <c r="P15" s="24">
        <v>2</v>
      </c>
      <c r="Q15" s="30">
        <v>2487870</v>
      </c>
      <c r="R15" s="31">
        <v>2139350</v>
      </c>
      <c r="S15" s="31">
        <v>4000000</v>
      </c>
      <c r="T15" s="30"/>
      <c r="U15" s="32">
        <v>2.2499999999999999E-2</v>
      </c>
      <c r="V15" s="33">
        <v>20</v>
      </c>
      <c r="Y15" s="34">
        <f>IF(W15&gt;X15,W15,X15)</f>
        <v>0</v>
      </c>
      <c r="Z15" s="35">
        <f>DATE(YEAR(Y15)+14,MONTH(Y15),DAY(Y15))</f>
        <v>5114</v>
      </c>
      <c r="AA15" s="36">
        <v>35</v>
      </c>
      <c r="AB15" s="35">
        <f>DATE(YEAR(Z15)+AA15,MONTH(Z15),DAY(Z15))</f>
        <v>17898</v>
      </c>
      <c r="AC15" s="25" t="s">
        <v>148</v>
      </c>
      <c r="AD15" s="25" t="s">
        <v>149</v>
      </c>
      <c r="AE15" s="25" t="s">
        <v>150</v>
      </c>
      <c r="AF15" s="25" t="s">
        <v>103</v>
      </c>
      <c r="AG15" s="25" t="s">
        <v>67</v>
      </c>
      <c r="AH15" s="25">
        <v>59602</v>
      </c>
      <c r="AI15" s="37" t="s">
        <v>151</v>
      </c>
      <c r="AJ15" s="41">
        <v>4064312151</v>
      </c>
      <c r="AK15" s="38">
        <v>109</v>
      </c>
      <c r="AL15" s="23">
        <f>SUM(AM15:AV15)</f>
        <v>32</v>
      </c>
      <c r="AO15" s="25">
        <v>7</v>
      </c>
      <c r="AP15" s="25">
        <v>25</v>
      </c>
      <c r="AW15" s="24" t="s">
        <v>80</v>
      </c>
      <c r="AY15" s="24">
        <v>16</v>
      </c>
      <c r="BA15" s="24">
        <v>10</v>
      </c>
      <c r="BB15" s="24">
        <v>6</v>
      </c>
      <c r="BG15" s="25">
        <f>SUM(AX15:BF15)</f>
        <v>32</v>
      </c>
      <c r="BH15" s="39">
        <f t="shared" si="7"/>
        <v>0.41875000000000001</v>
      </c>
      <c r="BJ15" s="40">
        <v>6966344</v>
      </c>
      <c r="BK15" s="40">
        <f>VLOOKUP(M15,[1]EconBenMult!$B$12:$D$14,2,TRUE)*(BJ15/1000000)</f>
        <v>54.058829440000004</v>
      </c>
      <c r="BL15" s="31">
        <f>VLOOKUP(M15,[1]EconBenMult!$B$12:$D$14,3,TRUE)*(BJ15/1000000)</f>
        <v>2983183.8370857602</v>
      </c>
    </row>
    <row r="16" spans="1:76" ht="15" x14ac:dyDescent="0.25">
      <c r="A16" s="22">
        <v>45205</v>
      </c>
      <c r="B16" s="23">
        <v>2023</v>
      </c>
      <c r="C16" s="24" t="s">
        <v>181</v>
      </c>
      <c r="D16" s="25" t="s">
        <v>152</v>
      </c>
      <c r="E16" s="25" t="s">
        <v>153</v>
      </c>
      <c r="F16" s="25" t="s">
        <v>83</v>
      </c>
      <c r="G16" s="26">
        <v>59404</v>
      </c>
      <c r="H16" s="27">
        <v>47.512479999999996</v>
      </c>
      <c r="I16" s="27">
        <v>-111.32349000000001</v>
      </c>
      <c r="J16" s="25" t="s">
        <v>84</v>
      </c>
      <c r="K16" s="28">
        <v>0.04</v>
      </c>
      <c r="L16" s="24" t="s">
        <v>60</v>
      </c>
      <c r="M16" s="25" t="s">
        <v>61</v>
      </c>
      <c r="N16" s="24" t="s">
        <v>62</v>
      </c>
      <c r="O16" s="29">
        <v>84</v>
      </c>
      <c r="P16" s="24">
        <v>10</v>
      </c>
      <c r="Q16" s="30">
        <v>6841480</v>
      </c>
      <c r="R16" s="31">
        <v>6156724</v>
      </c>
      <c r="S16" s="31">
        <v>12390000</v>
      </c>
      <c r="T16" s="30">
        <v>12330000</v>
      </c>
      <c r="U16" s="32">
        <v>6.2600000000000003E-2</v>
      </c>
      <c r="V16" s="33">
        <v>17</v>
      </c>
      <c r="AC16" s="25" t="s">
        <v>154</v>
      </c>
      <c r="AD16" s="25" t="s">
        <v>155</v>
      </c>
      <c r="AE16" s="25" t="s">
        <v>156</v>
      </c>
      <c r="AF16" s="25" t="s">
        <v>157</v>
      </c>
      <c r="AG16" s="25" t="s">
        <v>131</v>
      </c>
      <c r="AH16" s="25">
        <v>98004</v>
      </c>
      <c r="AI16" s="43" t="s">
        <v>158</v>
      </c>
      <c r="AJ16" s="55" t="s">
        <v>159</v>
      </c>
      <c r="AK16" s="38">
        <v>2619</v>
      </c>
      <c r="AL16" s="23">
        <f>SUM(AM16:AV16)</f>
        <v>84</v>
      </c>
      <c r="AO16" s="25">
        <v>36</v>
      </c>
      <c r="AP16" s="25">
        <v>30</v>
      </c>
      <c r="AQ16" s="25">
        <v>18</v>
      </c>
      <c r="AW16" s="24" t="s">
        <v>80</v>
      </c>
      <c r="BB16" s="24">
        <v>84</v>
      </c>
      <c r="BG16" s="25">
        <f>SUM(AX16:BF16)</f>
        <v>84</v>
      </c>
      <c r="BH16" s="39">
        <f>((AY16*AY$1)+(AZ16*AZ$1)+(BA16*BA$1)+(BB16*BB$1)+(BC16*BC$1)+(BD16*BD$1))/SUM(AY16:BD16)</f>
        <v>0.6</v>
      </c>
      <c r="BJ16" s="40">
        <v>19063276</v>
      </c>
      <c r="BK16" s="40">
        <f>VLOOKUP(M16,[1]EconBenMult!$B$12:$D$14,2,TRUE)*(BJ16/1000000)</f>
        <v>147.93102175999999</v>
      </c>
      <c r="BL16" s="31">
        <f>VLOOKUP(M16,[1]EconBenMult!$B$12:$D$14,3,TRUE)*(BJ16/1000000)</f>
        <v>8163429.3174590385</v>
      </c>
    </row>
    <row r="17" spans="1:68" x14ac:dyDescent="0.2">
      <c r="A17" s="22">
        <v>45132</v>
      </c>
      <c r="B17" s="23">
        <v>2023</v>
      </c>
      <c r="C17" s="24" t="s">
        <v>55</v>
      </c>
      <c r="D17" s="25" t="s">
        <v>160</v>
      </c>
      <c r="E17" s="25" t="s">
        <v>161</v>
      </c>
      <c r="F17" s="25" t="s">
        <v>108</v>
      </c>
      <c r="G17" s="26">
        <v>59808</v>
      </c>
      <c r="H17" s="27">
        <v>46.889626</v>
      </c>
      <c r="I17" s="27">
        <v>-114.03527200000001</v>
      </c>
      <c r="J17" s="25" t="s">
        <v>108</v>
      </c>
      <c r="K17" s="28">
        <v>0.04</v>
      </c>
      <c r="L17" s="24" t="s">
        <v>60</v>
      </c>
      <c r="M17" s="25" t="s">
        <v>61</v>
      </c>
      <c r="N17" s="24" t="s">
        <v>62</v>
      </c>
      <c r="O17" s="29">
        <v>63</v>
      </c>
      <c r="P17" s="24">
        <v>6</v>
      </c>
      <c r="Q17" s="30">
        <v>5482680</v>
      </c>
      <c r="R17" s="31">
        <v>4860169</v>
      </c>
      <c r="S17" s="31">
        <v>8860000</v>
      </c>
      <c r="T17" s="30">
        <v>5130000</v>
      </c>
      <c r="U17" s="32">
        <v>5.96E-2</v>
      </c>
      <c r="V17" s="33">
        <v>18</v>
      </c>
      <c r="AC17" s="25" t="s">
        <v>127</v>
      </c>
      <c r="AD17" s="25" t="s">
        <v>128</v>
      </c>
      <c r="AE17" s="25" t="s">
        <v>129</v>
      </c>
      <c r="AF17" s="25" t="s">
        <v>130</v>
      </c>
      <c r="AG17" s="25" t="s">
        <v>131</v>
      </c>
      <c r="AH17" s="25">
        <v>98004</v>
      </c>
      <c r="AI17" s="37" t="s">
        <v>132</v>
      </c>
      <c r="AJ17" s="41">
        <v>4254587369</v>
      </c>
      <c r="AK17" s="38">
        <v>722</v>
      </c>
      <c r="AL17" s="23">
        <f t="shared" ref="AL17:AL20" si="8">SUM(AM17:AV17)</f>
        <v>63</v>
      </c>
      <c r="AP17" s="25">
        <v>36</v>
      </c>
      <c r="AQ17" s="25">
        <v>27</v>
      </c>
      <c r="AW17" s="24" t="s">
        <v>80</v>
      </c>
      <c r="BB17" s="24">
        <v>63</v>
      </c>
      <c r="BG17" s="25">
        <v>63</v>
      </c>
      <c r="BH17" s="39">
        <f t="shared" si="7"/>
        <v>0.6</v>
      </c>
      <c r="BJ17" s="40">
        <v>14547095</v>
      </c>
      <c r="BK17" s="40">
        <f>VLOOKUP(M17,[1]EconBenMult!$B$12:$D$14,2,TRUE)*(BJ17/1000000)</f>
        <v>112.8854572</v>
      </c>
      <c r="BL17" s="31">
        <f>VLOOKUP(M17,[1]EconBenMult!$B$12:$D$14,3,TRUE)*(BJ17/1000000)</f>
        <v>6229473.9795437995</v>
      </c>
    </row>
    <row r="18" spans="1:68" ht="15" x14ac:dyDescent="0.25">
      <c r="A18" s="22">
        <v>45089</v>
      </c>
      <c r="B18" s="23">
        <v>2023</v>
      </c>
      <c r="C18" s="24" t="s">
        <v>181</v>
      </c>
      <c r="D18" s="25" t="s">
        <v>162</v>
      </c>
      <c r="E18" s="25" t="s">
        <v>163</v>
      </c>
      <c r="F18" s="25" t="s">
        <v>83</v>
      </c>
      <c r="G18" s="26">
        <v>59405</v>
      </c>
      <c r="H18" s="26">
        <v>47.490189999999998</v>
      </c>
      <c r="I18" s="27">
        <v>-111.29738</v>
      </c>
      <c r="J18" s="25" t="s">
        <v>84</v>
      </c>
      <c r="K18" s="28">
        <v>0.04</v>
      </c>
      <c r="L18" s="24" t="s">
        <v>147</v>
      </c>
      <c r="M18" s="25" t="s">
        <v>61</v>
      </c>
      <c r="N18" s="24" t="s">
        <v>75</v>
      </c>
      <c r="O18" s="29">
        <v>72</v>
      </c>
      <c r="P18" s="24">
        <v>1</v>
      </c>
      <c r="Q18" s="30">
        <f>8594820*0.8</f>
        <v>6875856</v>
      </c>
      <c r="R18" s="31">
        <f>7734564*0.8</f>
        <v>6187651.2000000002</v>
      </c>
      <c r="S18" s="31">
        <f>15381160*0.8</f>
        <v>12304928</v>
      </c>
      <c r="T18" s="30">
        <f>10958000*0.8</f>
        <v>8766400</v>
      </c>
      <c r="U18" s="32">
        <v>5.2900000000000003E-2</v>
      </c>
      <c r="V18" s="33">
        <v>35</v>
      </c>
      <c r="AC18" s="25" t="s">
        <v>164</v>
      </c>
      <c r="AD18" s="25" t="s">
        <v>165</v>
      </c>
      <c r="AE18" s="25" t="s">
        <v>87</v>
      </c>
      <c r="AF18" s="25" t="s">
        <v>88</v>
      </c>
      <c r="AG18" s="25" t="s">
        <v>89</v>
      </c>
      <c r="AH18" s="25">
        <v>92614</v>
      </c>
      <c r="AI18" s="43" t="s">
        <v>166</v>
      </c>
      <c r="AJ18" s="41">
        <v>9492368135</v>
      </c>
      <c r="AK18" s="38">
        <v>375</v>
      </c>
      <c r="AL18" s="23">
        <f t="shared" si="8"/>
        <v>72</v>
      </c>
      <c r="AO18" s="25">
        <v>60</v>
      </c>
      <c r="AP18" s="25">
        <v>11</v>
      </c>
      <c r="AV18" s="25">
        <v>1</v>
      </c>
      <c r="AW18" s="24" t="s">
        <v>80</v>
      </c>
      <c r="BA18" s="24">
        <v>46</v>
      </c>
      <c r="BB18" s="24">
        <v>46</v>
      </c>
      <c r="BG18" s="25">
        <f t="shared" ref="BG18:BG20" si="9">SUM(AY18:BF18)</f>
        <v>92</v>
      </c>
      <c r="BH18" s="39">
        <f t="shared" si="7"/>
        <v>0.54999999999999993</v>
      </c>
      <c r="BJ18" s="40">
        <f>23151193*0.8</f>
        <v>18520954.400000002</v>
      </c>
      <c r="BK18" s="40">
        <f>VLOOKUP(M18,[1]EconBenMult!$B$12:$D$14,2,TRUE)*(BJ18/1000000)</f>
        <v>143.722606144</v>
      </c>
      <c r="BL18" s="31">
        <f>VLOOKUP(M18,[1]EconBenMult!$B$12:$D$14,3,TRUE)*(BJ18/1000000)</f>
        <v>7931192.0016413759</v>
      </c>
    </row>
    <row r="19" spans="1:68" ht="15" x14ac:dyDescent="0.25">
      <c r="A19" s="22">
        <v>45089</v>
      </c>
      <c r="B19" s="23">
        <v>2023</v>
      </c>
      <c r="C19" s="24" t="s">
        <v>55</v>
      </c>
      <c r="D19" s="25" t="s">
        <v>167</v>
      </c>
      <c r="E19" s="25" t="s">
        <v>168</v>
      </c>
      <c r="F19" s="25" t="s">
        <v>83</v>
      </c>
      <c r="G19" s="26">
        <v>59404</v>
      </c>
      <c r="H19" s="26">
        <v>47.514060000000001</v>
      </c>
      <c r="I19" s="27">
        <v>-111.23358</v>
      </c>
      <c r="J19" s="25" t="s">
        <v>84</v>
      </c>
      <c r="K19" s="28">
        <v>0.04</v>
      </c>
      <c r="L19" s="24" t="s">
        <v>147</v>
      </c>
      <c r="M19" s="25" t="s">
        <v>61</v>
      </c>
      <c r="N19" s="24" t="s">
        <v>62</v>
      </c>
      <c r="O19" s="29">
        <v>10</v>
      </c>
      <c r="P19" s="24">
        <v>2</v>
      </c>
      <c r="Q19" s="30">
        <f>8594820*0.1</f>
        <v>859482</v>
      </c>
      <c r="R19" s="31">
        <f>7734564*0.1</f>
        <v>773456.4</v>
      </c>
      <c r="S19" s="31">
        <f>15381160*0.1</f>
        <v>1538116</v>
      </c>
      <c r="T19" s="30">
        <f>10958000*0.1</f>
        <v>1095800</v>
      </c>
      <c r="U19" s="32">
        <v>5.2900000000000003E-2</v>
      </c>
      <c r="V19" s="33">
        <v>35</v>
      </c>
      <c r="AC19" s="25" t="s">
        <v>164</v>
      </c>
      <c r="AD19" s="25" t="s">
        <v>165</v>
      </c>
      <c r="AE19" s="25" t="s">
        <v>169</v>
      </c>
      <c r="AF19" s="25" t="s">
        <v>88</v>
      </c>
      <c r="AG19" s="25" t="s">
        <v>89</v>
      </c>
      <c r="AH19" s="25">
        <v>92614</v>
      </c>
      <c r="AI19" s="43" t="s">
        <v>166</v>
      </c>
      <c r="AJ19" s="41">
        <v>9492368135</v>
      </c>
      <c r="AK19" s="38">
        <v>269</v>
      </c>
      <c r="AL19" s="23">
        <f t="shared" si="8"/>
        <v>10</v>
      </c>
      <c r="AQ19" s="25">
        <v>5</v>
      </c>
      <c r="AR19" s="25">
        <v>5</v>
      </c>
      <c r="AW19" s="24" t="s">
        <v>80</v>
      </c>
      <c r="BB19" s="24">
        <v>10</v>
      </c>
      <c r="BG19" s="25">
        <f t="shared" si="9"/>
        <v>10</v>
      </c>
      <c r="BH19" s="39">
        <f t="shared" si="7"/>
        <v>0.6</v>
      </c>
      <c r="BJ19" s="40">
        <f>23151193*0.1</f>
        <v>2315119.3000000003</v>
      </c>
      <c r="BK19" s="40">
        <f>VLOOKUP(M19,[1]EconBenMult!$B$12:$D$14,2,TRUE)*(BJ19/1000000)</f>
        <v>17.965325768</v>
      </c>
      <c r="BL19" s="31">
        <f>VLOOKUP(M19,[1]EconBenMult!$B$12:$D$14,3,TRUE)*(BJ19/1000000)</f>
        <v>991399.00020517199</v>
      </c>
    </row>
    <row r="20" spans="1:68" ht="15" x14ac:dyDescent="0.25">
      <c r="A20" s="22">
        <v>45089</v>
      </c>
      <c r="B20" s="23">
        <v>2023</v>
      </c>
      <c r="C20" s="24" t="s">
        <v>55</v>
      </c>
      <c r="D20" s="25" t="s">
        <v>170</v>
      </c>
      <c r="E20" s="25" t="s">
        <v>171</v>
      </c>
      <c r="F20" s="25" t="s">
        <v>83</v>
      </c>
      <c r="G20" s="26">
        <v>59405</v>
      </c>
      <c r="H20" s="26">
        <v>47.511409999999998</v>
      </c>
      <c r="I20" s="27">
        <v>-111.32486</v>
      </c>
      <c r="J20" s="25" t="s">
        <v>84</v>
      </c>
      <c r="K20" s="28">
        <v>0.04</v>
      </c>
      <c r="L20" s="24" t="s">
        <v>147</v>
      </c>
      <c r="M20" s="25" t="s">
        <v>61</v>
      </c>
      <c r="N20" s="24" t="s">
        <v>62</v>
      </c>
      <c r="O20" s="29">
        <v>10</v>
      </c>
      <c r="P20" s="24">
        <v>2</v>
      </c>
      <c r="Q20" s="30">
        <f>8594820*0.1</f>
        <v>859482</v>
      </c>
      <c r="R20" s="31">
        <f>7734564*0.1</f>
        <v>773456.4</v>
      </c>
      <c r="S20" s="31">
        <f>15381160*0.1</f>
        <v>1538116</v>
      </c>
      <c r="T20" s="30">
        <f>10958000*0.1</f>
        <v>1095800</v>
      </c>
      <c r="U20" s="32">
        <v>5.2900000000000003E-2</v>
      </c>
      <c r="V20" s="33">
        <v>35</v>
      </c>
      <c r="AC20" s="25" t="s">
        <v>164</v>
      </c>
      <c r="AD20" s="25" t="s">
        <v>165</v>
      </c>
      <c r="AE20" s="25" t="s">
        <v>172</v>
      </c>
      <c r="AF20" s="25" t="s">
        <v>88</v>
      </c>
      <c r="AG20" s="25" t="s">
        <v>89</v>
      </c>
      <c r="AH20" s="25">
        <v>92614</v>
      </c>
      <c r="AI20" s="43" t="s">
        <v>166</v>
      </c>
      <c r="AJ20" s="41">
        <v>9492368135</v>
      </c>
      <c r="AK20" s="38">
        <v>269</v>
      </c>
      <c r="AL20" s="23">
        <f t="shared" si="8"/>
        <v>10</v>
      </c>
      <c r="AQ20" s="25">
        <v>5</v>
      </c>
      <c r="AR20" s="25">
        <v>5</v>
      </c>
      <c r="AW20" s="24" t="s">
        <v>80</v>
      </c>
      <c r="BB20" s="24">
        <v>10</v>
      </c>
      <c r="BG20" s="25">
        <f t="shared" si="9"/>
        <v>10</v>
      </c>
      <c r="BH20" s="39">
        <f t="shared" si="7"/>
        <v>0.6</v>
      </c>
      <c r="BJ20" s="40">
        <f>23151193*0.1</f>
        <v>2315119.3000000003</v>
      </c>
      <c r="BK20" s="40">
        <f>VLOOKUP(M20,[1]EconBenMult!$B$12:$D$14,2,TRUE)*(BJ20/1000000)</f>
        <v>17.965325768</v>
      </c>
      <c r="BL20" s="31">
        <f>VLOOKUP(M20,[1]EconBenMult!$B$12:$D$14,3,TRUE)*(BJ20/1000000)</f>
        <v>991399.00020517199</v>
      </c>
    </row>
    <row r="21" spans="1:68" ht="15" customHeight="1" x14ac:dyDescent="0.25">
      <c r="A21" s="34">
        <v>45057</v>
      </c>
      <c r="B21" s="24">
        <v>2023</v>
      </c>
      <c r="C21" s="24" t="s">
        <v>55</v>
      </c>
      <c r="D21" s="25" t="s">
        <v>173</v>
      </c>
      <c r="E21" s="25" t="s">
        <v>174</v>
      </c>
      <c r="F21" s="25" t="s">
        <v>113</v>
      </c>
      <c r="G21" s="26">
        <v>59101</v>
      </c>
      <c r="H21" s="27">
        <v>45.756</v>
      </c>
      <c r="I21" s="27">
        <v>-108.60182</v>
      </c>
      <c r="J21" s="25" t="s">
        <v>175</v>
      </c>
      <c r="K21" s="28">
        <v>0.04</v>
      </c>
      <c r="L21" s="24" t="s">
        <v>147</v>
      </c>
      <c r="M21" s="25" t="s">
        <v>61</v>
      </c>
      <c r="N21" s="24" t="s">
        <v>75</v>
      </c>
      <c r="O21" s="29">
        <v>101</v>
      </c>
      <c r="P21" s="24">
        <v>1</v>
      </c>
      <c r="Q21" s="30">
        <v>9103280</v>
      </c>
      <c r="R21" s="30">
        <v>8073665</v>
      </c>
      <c r="S21" s="30">
        <v>14999944.82</v>
      </c>
      <c r="T21" s="30"/>
      <c r="Y21" s="34">
        <f t="shared" ref="Y21:Y22" si="10">IF(W21&gt;X21,W21,X21)</f>
        <v>0</v>
      </c>
      <c r="Z21" s="35">
        <f t="shared" ref="Z21:Z22" si="11">DATE(YEAR(Y21)+14,MONTH(Y21),DAY(Y21))</f>
        <v>5114</v>
      </c>
      <c r="AA21" s="36">
        <v>31</v>
      </c>
      <c r="AB21" s="35">
        <f>DATE(YEAR(Z21)+AA21,MONTH(Z21),DAY(Z21))</f>
        <v>16437</v>
      </c>
      <c r="AC21" s="25" t="s">
        <v>176</v>
      </c>
      <c r="AD21" s="25" t="s">
        <v>177</v>
      </c>
      <c r="AE21" s="25" t="s">
        <v>178</v>
      </c>
      <c r="AF21" s="25" t="s">
        <v>179</v>
      </c>
      <c r="AG21" s="25" t="s">
        <v>89</v>
      </c>
      <c r="AH21" s="25">
        <v>90401</v>
      </c>
      <c r="AI21" s="43" t="s">
        <v>180</v>
      </c>
      <c r="AJ21" s="41">
        <v>5094967232</v>
      </c>
      <c r="AK21" s="42">
        <f>(873+374)/2</f>
        <v>623.5</v>
      </c>
      <c r="AL21" s="23">
        <f>SUM(AM21:AV21)</f>
        <v>101</v>
      </c>
      <c r="AO21" s="25">
        <v>100</v>
      </c>
      <c r="AV21" s="25">
        <v>1</v>
      </c>
      <c r="AW21" s="24" t="s">
        <v>80</v>
      </c>
      <c r="BA21" s="24">
        <v>51</v>
      </c>
      <c r="BB21" s="24">
        <v>50</v>
      </c>
      <c r="BG21" s="25">
        <f>SUM(AY21:BF21)</f>
        <v>101</v>
      </c>
      <c r="BH21" s="39">
        <f>((AY21*AY$1)+(AZ21*AZ$1)+(BA21*BA$1)+(BB21*BB$1)+(BC21*BC$1)+(BD21*BD$1))/SUM(AY21:BD21)</f>
        <v>0.54950495049504955</v>
      </c>
      <c r="BJ21" s="40">
        <v>25165580</v>
      </c>
      <c r="BK21" s="40">
        <f>VLOOKUP(M21,[1]EconBenMult!$B$12:$D$14,2,TRUE)*(BJ21/1000000)</f>
        <v>195.28490079999997</v>
      </c>
      <c r="BL21" s="31">
        <f>VLOOKUP(M21,[1]EconBenMult!$B$12:$D$14,3,TRUE)*(BJ21/1000000)</f>
        <v>10776606.9988632</v>
      </c>
    </row>
    <row r="22" spans="1:68" ht="15" customHeight="1" x14ac:dyDescent="0.2">
      <c r="A22" s="34">
        <v>44882</v>
      </c>
      <c r="B22" s="24">
        <v>2022</v>
      </c>
      <c r="C22" s="24" t="s">
        <v>181</v>
      </c>
      <c r="D22" s="25" t="s">
        <v>182</v>
      </c>
      <c r="E22" s="25" t="s">
        <v>183</v>
      </c>
      <c r="F22" s="25" t="s">
        <v>93</v>
      </c>
      <c r="G22" s="26">
        <v>59715</v>
      </c>
      <c r="H22" s="27">
        <v>45.672359999999998</v>
      </c>
      <c r="I22" s="27">
        <v>-111.0102</v>
      </c>
      <c r="J22" s="25" t="s">
        <v>94</v>
      </c>
      <c r="K22" s="28">
        <v>0.04</v>
      </c>
      <c r="L22" s="24" t="s">
        <v>147</v>
      </c>
      <c r="M22" s="25" t="s">
        <v>61</v>
      </c>
      <c r="N22" s="24" t="s">
        <v>62</v>
      </c>
      <c r="O22" s="29">
        <v>86</v>
      </c>
      <c r="P22" s="24">
        <v>10</v>
      </c>
      <c r="Q22" s="30">
        <v>7514790</v>
      </c>
      <c r="R22" s="30">
        <v>6627681</v>
      </c>
      <c r="S22" s="30">
        <v>14000000</v>
      </c>
      <c r="T22" s="30"/>
      <c r="Y22" s="34">
        <f t="shared" si="10"/>
        <v>0</v>
      </c>
      <c r="Z22" s="35">
        <f t="shared" si="11"/>
        <v>5114</v>
      </c>
      <c r="AA22" s="36">
        <v>35</v>
      </c>
      <c r="AB22" s="35">
        <f>DATE(YEAR(Z22)+AA22,MONTH(Z22),DAY(Z22))</f>
        <v>17898</v>
      </c>
      <c r="AC22" s="25" t="s">
        <v>127</v>
      </c>
      <c r="AD22" s="25" t="s">
        <v>128</v>
      </c>
      <c r="AE22" s="25" t="s">
        <v>129</v>
      </c>
      <c r="AF22" s="25" t="s">
        <v>130</v>
      </c>
      <c r="AG22" s="25" t="s">
        <v>131</v>
      </c>
      <c r="AH22" s="25">
        <v>98004</v>
      </c>
      <c r="AI22" s="37" t="s">
        <v>132</v>
      </c>
      <c r="AJ22" s="41">
        <v>4254587369</v>
      </c>
      <c r="AL22" s="23">
        <f>SUM(AM22:AV22)</f>
        <v>86</v>
      </c>
      <c r="AO22" s="25">
        <v>52</v>
      </c>
      <c r="AP22" s="25">
        <v>23</v>
      </c>
      <c r="AQ22" s="25">
        <v>9</v>
      </c>
      <c r="AR22" s="25">
        <v>1</v>
      </c>
      <c r="AV22" s="25">
        <v>1</v>
      </c>
      <c r="AW22" s="24" t="s">
        <v>80</v>
      </c>
      <c r="BB22" s="24">
        <v>86</v>
      </c>
      <c r="BG22" s="25">
        <f>SUM(AY22:BF22)</f>
        <v>86</v>
      </c>
      <c r="BH22" s="39">
        <f>((AY22*AY$1)+(AZ22*AZ$1)+(BA22*BA$1)+(BB22*BB$1)+(BC22*BC$1)+(BD22*BD$1))/SUM(AY22:BD22)</f>
        <v>0.6</v>
      </c>
      <c r="BJ22" s="40">
        <v>21411734</v>
      </c>
      <c r="BK22" s="40">
        <f>VLOOKUP(M22,[1]EconBenMult!$B$12:$D$14,2,TRUE)*(BJ22/1000000)</f>
        <v>166.15505583999999</v>
      </c>
      <c r="BL22" s="31">
        <f>VLOOKUP(M22,[1]EconBenMult!$B$12:$D$14,3,TRUE)*(BJ22/1000000)</f>
        <v>9169104.8838213589</v>
      </c>
    </row>
    <row r="23" spans="1:68" x14ac:dyDescent="0.2">
      <c r="A23" s="22">
        <v>44851</v>
      </c>
      <c r="B23" s="23">
        <v>2023</v>
      </c>
      <c r="C23" s="24" t="s">
        <v>181</v>
      </c>
      <c r="D23" s="44" t="s">
        <v>184</v>
      </c>
      <c r="E23" s="25" t="s">
        <v>185</v>
      </c>
      <c r="F23" s="44" t="s">
        <v>186</v>
      </c>
      <c r="G23" s="26">
        <v>59022</v>
      </c>
      <c r="H23" s="27">
        <v>45.609479999999998</v>
      </c>
      <c r="I23" s="27">
        <v>-107.47302000000001</v>
      </c>
      <c r="J23" s="44" t="s">
        <v>187</v>
      </c>
      <c r="K23" s="45">
        <v>0.09</v>
      </c>
      <c r="L23" s="46" t="s">
        <v>188</v>
      </c>
      <c r="M23" s="25" t="s">
        <v>61</v>
      </c>
      <c r="N23" s="47" t="s">
        <v>62</v>
      </c>
      <c r="O23" s="29">
        <v>23</v>
      </c>
      <c r="P23" s="24">
        <v>23</v>
      </c>
      <c r="Q23" s="30">
        <v>6435000</v>
      </c>
      <c r="R23" s="31">
        <v>5388774</v>
      </c>
      <c r="S23" s="31"/>
      <c r="T23" s="30"/>
      <c r="AC23" s="25" t="s">
        <v>189</v>
      </c>
      <c r="AD23" s="25" t="s">
        <v>190</v>
      </c>
      <c r="AE23" s="25" t="s">
        <v>191</v>
      </c>
      <c r="AF23" s="25" t="s">
        <v>186</v>
      </c>
      <c r="AG23" s="25" t="s">
        <v>67</v>
      </c>
      <c r="AH23" s="25">
        <v>59022</v>
      </c>
      <c r="AI23" s="37" t="s">
        <v>192</v>
      </c>
      <c r="AJ23" s="41">
        <v>4066237146</v>
      </c>
      <c r="AK23" s="38"/>
      <c r="AL23" s="23">
        <f t="shared" ref="AL23:AL28" si="12">SUM(AM23:AV23)</f>
        <v>23</v>
      </c>
      <c r="AP23" s="25">
        <v>2</v>
      </c>
      <c r="AQ23" s="25">
        <v>15</v>
      </c>
      <c r="AR23" s="25">
        <v>6</v>
      </c>
      <c r="AW23" s="24" t="s">
        <v>69</v>
      </c>
      <c r="AY23" s="24">
        <v>6</v>
      </c>
      <c r="BB23" s="24">
        <v>17</v>
      </c>
      <c r="BG23" s="25">
        <f t="shared" ref="BG23:BG28" si="13">SUM(AY23:BF23)</f>
        <v>23</v>
      </c>
      <c r="BH23" s="39">
        <f t="shared" ref="BH23:BH29" si="14">((AY23*AY$1)+(AZ23*AZ$1)+(BA23*BA$1)+(BB23*BB$1)+(BC23*BC$1)+(BD23*BD$1))/SUM(AY23:BD23)</f>
        <v>0.52173913043478259</v>
      </c>
      <c r="BJ23" s="40">
        <v>6955297</v>
      </c>
      <c r="BK23" s="40">
        <f>VLOOKUP(M23,[1]EconBenMult!$B$12:$D$14,2,TRUE)*(BJ23/1000000)</f>
        <v>53.973104719999995</v>
      </c>
      <c r="BL23" s="31">
        <f>VLOOKUP(M23,[1]EconBenMult!$B$12:$D$14,3,TRUE)*(BJ23/1000000)</f>
        <v>2978453.2019278798</v>
      </c>
    </row>
    <row r="24" spans="1:68" x14ac:dyDescent="0.2">
      <c r="A24" s="22">
        <v>44851</v>
      </c>
      <c r="B24" s="23">
        <v>2023</v>
      </c>
      <c r="C24" s="24" t="s">
        <v>181</v>
      </c>
      <c r="D24" s="44" t="s">
        <v>193</v>
      </c>
      <c r="E24" s="25" t="s">
        <v>194</v>
      </c>
      <c r="F24" s="25" t="s">
        <v>83</v>
      </c>
      <c r="G24" s="26">
        <v>59405</v>
      </c>
      <c r="H24" s="27">
        <v>47.499630000000003</v>
      </c>
      <c r="I24" s="27">
        <v>-111.30301</v>
      </c>
      <c r="J24" s="25" t="s">
        <v>84</v>
      </c>
      <c r="K24" s="28">
        <v>0.09</v>
      </c>
      <c r="L24" s="24" t="s">
        <v>60</v>
      </c>
      <c r="M24" s="25" t="s">
        <v>95</v>
      </c>
      <c r="N24" s="24" t="s">
        <v>75</v>
      </c>
      <c r="O24" s="29">
        <v>25</v>
      </c>
      <c r="P24" s="24">
        <v>1</v>
      </c>
      <c r="Q24" s="30">
        <v>6500000</v>
      </c>
      <c r="R24" s="31">
        <v>5524448</v>
      </c>
      <c r="S24" s="31"/>
      <c r="T24" s="30"/>
      <c r="AC24" s="25" t="s">
        <v>195</v>
      </c>
      <c r="AD24" s="25" t="s">
        <v>122</v>
      </c>
      <c r="AE24" s="25" t="s">
        <v>123</v>
      </c>
      <c r="AF24" s="25" t="s">
        <v>108</v>
      </c>
      <c r="AG24" s="25" t="s">
        <v>67</v>
      </c>
      <c r="AH24" s="25">
        <v>59806</v>
      </c>
      <c r="AI24" s="37" t="s">
        <v>124</v>
      </c>
      <c r="AJ24" s="41">
        <v>4062031558</v>
      </c>
      <c r="AK24" s="38">
        <v>270</v>
      </c>
      <c r="AL24" s="23">
        <f t="shared" si="12"/>
        <v>25</v>
      </c>
      <c r="AO24" s="25">
        <v>18</v>
      </c>
      <c r="AP24" s="25">
        <v>6</v>
      </c>
      <c r="AV24" s="25">
        <v>1</v>
      </c>
      <c r="AW24" s="24" t="s">
        <v>69</v>
      </c>
      <c r="AZ24" s="24">
        <v>2</v>
      </c>
      <c r="BA24" s="24">
        <v>14</v>
      </c>
      <c r="BB24" s="24">
        <v>9</v>
      </c>
      <c r="BG24" s="25">
        <f t="shared" si="13"/>
        <v>25</v>
      </c>
      <c r="BH24" s="39">
        <f t="shared" si="14"/>
        <v>0.52800000000000002</v>
      </c>
      <c r="BJ24" s="40">
        <v>6849388</v>
      </c>
      <c r="BK24" s="40">
        <f>VLOOKUP(M24,[1]EconBenMult!$B$12:$D$14,2,TRUE)*(BJ24/1000000)</f>
        <v>82.398137640000002</v>
      </c>
      <c r="BL24" s="31">
        <f>VLOOKUP(M24,[1]EconBenMult!$B$12:$D$14,3,TRUE)*(BJ24/1000000)</f>
        <v>4789289.6944437996</v>
      </c>
    </row>
    <row r="25" spans="1:68" x14ac:dyDescent="0.2">
      <c r="A25" s="22">
        <v>44851</v>
      </c>
      <c r="B25" s="23">
        <v>2023</v>
      </c>
      <c r="C25" s="24" t="s">
        <v>181</v>
      </c>
      <c r="D25" s="44" t="s">
        <v>196</v>
      </c>
      <c r="E25" s="25" t="s">
        <v>197</v>
      </c>
      <c r="F25" s="25" t="s">
        <v>198</v>
      </c>
      <c r="G25" s="26">
        <v>59923</v>
      </c>
      <c r="H25" s="27">
        <v>48.394576000000001</v>
      </c>
      <c r="I25" s="27">
        <v>-115.56329700000001</v>
      </c>
      <c r="J25" s="44" t="s">
        <v>199</v>
      </c>
      <c r="K25" s="45">
        <v>0.09</v>
      </c>
      <c r="L25" s="46" t="s">
        <v>74</v>
      </c>
      <c r="M25" s="25" t="s">
        <v>95</v>
      </c>
      <c r="N25" s="47" t="s">
        <v>62</v>
      </c>
      <c r="O25" s="29">
        <v>24</v>
      </c>
      <c r="P25" s="23">
        <v>13</v>
      </c>
      <c r="Q25" s="30">
        <v>6500000</v>
      </c>
      <c r="R25" s="31">
        <v>5524448</v>
      </c>
      <c r="S25" s="31"/>
      <c r="T25" s="30"/>
      <c r="AC25" s="25" t="s">
        <v>200</v>
      </c>
      <c r="AD25" s="25" t="s">
        <v>64</v>
      </c>
      <c r="AE25" s="25" t="s">
        <v>65</v>
      </c>
      <c r="AF25" s="25" t="s">
        <v>66</v>
      </c>
      <c r="AG25" s="25" t="s">
        <v>67</v>
      </c>
      <c r="AH25" s="25">
        <v>59901</v>
      </c>
      <c r="AI25" s="37" t="s">
        <v>68</v>
      </c>
      <c r="AJ25" s="41">
        <v>4062356593</v>
      </c>
      <c r="AK25" s="38"/>
      <c r="AL25" s="23">
        <f t="shared" si="12"/>
        <v>24</v>
      </c>
      <c r="AO25" s="25">
        <v>14</v>
      </c>
      <c r="AP25" s="25">
        <v>10</v>
      </c>
      <c r="AW25" s="24" t="s">
        <v>69</v>
      </c>
      <c r="BA25" s="24">
        <v>12</v>
      </c>
      <c r="BB25" s="24">
        <v>12</v>
      </c>
      <c r="BG25" s="25">
        <f t="shared" si="13"/>
        <v>24</v>
      </c>
      <c r="BH25" s="39">
        <f t="shared" si="14"/>
        <v>0.54999999999999993</v>
      </c>
      <c r="BJ25" s="40">
        <v>6717141</v>
      </c>
      <c r="BK25" s="40">
        <f>VLOOKUP(M25,[1]EconBenMult!$B$12:$D$14,2,TRUE)*(BJ25/1000000)</f>
        <v>80.807206229999991</v>
      </c>
      <c r="BL25" s="31">
        <f>VLOOKUP(M25,[1]EconBenMult!$B$12:$D$14,3,TRUE)*(BJ25/1000000)</f>
        <v>4696818.77671785</v>
      </c>
    </row>
    <row r="26" spans="1:68" x14ac:dyDescent="0.2">
      <c r="A26" s="22">
        <v>44851</v>
      </c>
      <c r="B26" s="23">
        <v>2023</v>
      </c>
      <c r="C26" s="24" t="s">
        <v>181</v>
      </c>
      <c r="D26" s="44" t="s">
        <v>201</v>
      </c>
      <c r="E26" s="25" t="s">
        <v>202</v>
      </c>
      <c r="F26" s="25" t="s">
        <v>108</v>
      </c>
      <c r="G26" s="26">
        <v>59802</v>
      </c>
      <c r="H26" s="27">
        <v>46.862900000000003</v>
      </c>
      <c r="I26" s="27">
        <v>-113.94172</v>
      </c>
      <c r="J26" s="25" t="s">
        <v>108</v>
      </c>
      <c r="K26" s="28">
        <v>0.09</v>
      </c>
      <c r="L26" s="24" t="s">
        <v>74</v>
      </c>
      <c r="M26" s="25" t="s">
        <v>61</v>
      </c>
      <c r="N26" s="24" t="s">
        <v>62</v>
      </c>
      <c r="O26" s="29">
        <v>41</v>
      </c>
      <c r="P26" s="24">
        <v>4</v>
      </c>
      <c r="Q26" s="30">
        <v>5750000</v>
      </c>
      <c r="R26" s="31">
        <v>4887011</v>
      </c>
      <c r="S26" s="31"/>
      <c r="T26" s="30"/>
      <c r="AC26" s="25" t="s">
        <v>203</v>
      </c>
      <c r="AD26" s="25" t="s">
        <v>204</v>
      </c>
      <c r="AE26" s="25" t="s">
        <v>205</v>
      </c>
      <c r="AF26" s="25" t="s">
        <v>108</v>
      </c>
      <c r="AG26" s="25" t="s">
        <v>67</v>
      </c>
      <c r="AH26" s="25">
        <v>59808</v>
      </c>
      <c r="AI26" s="37" t="s">
        <v>206</v>
      </c>
      <c r="AJ26" s="41">
        <v>4065324663</v>
      </c>
      <c r="AK26" s="38"/>
      <c r="AL26" s="23">
        <f t="shared" si="12"/>
        <v>41</v>
      </c>
      <c r="AN26" s="25">
        <v>4</v>
      </c>
      <c r="AO26" s="25">
        <v>4</v>
      </c>
      <c r="AP26" s="25">
        <v>28</v>
      </c>
      <c r="AQ26" s="25">
        <v>4</v>
      </c>
      <c r="AV26" s="25">
        <v>1</v>
      </c>
      <c r="AW26" s="24" t="s">
        <v>80</v>
      </c>
      <c r="BA26" s="24">
        <v>29</v>
      </c>
      <c r="BB26" s="24">
        <v>12</v>
      </c>
      <c r="BG26" s="25">
        <f t="shared" si="13"/>
        <v>41</v>
      </c>
      <c r="BH26" s="39">
        <f t="shared" si="14"/>
        <v>0.52926829268292686</v>
      </c>
      <c r="BJ26" s="40">
        <v>10260323</v>
      </c>
      <c r="BK26" s="40">
        <f>VLOOKUP(M26,[1]EconBenMult!$B$12:$D$14,2,TRUE)*(BJ26/1000000)</f>
        <v>79.62010647999999</v>
      </c>
      <c r="BL26" s="31">
        <f>VLOOKUP(M26,[1]EconBenMult!$B$12:$D$14,3,TRUE)*(BJ26/1000000)</f>
        <v>4393758.00805692</v>
      </c>
    </row>
    <row r="27" spans="1:68" x14ac:dyDescent="0.2">
      <c r="A27" s="22"/>
      <c r="B27" s="23">
        <v>2023</v>
      </c>
      <c r="C27" s="24" t="s">
        <v>55</v>
      </c>
      <c r="D27" s="44" t="s">
        <v>207</v>
      </c>
      <c r="E27" s="25" t="s">
        <v>202</v>
      </c>
      <c r="F27" s="25" t="s">
        <v>108</v>
      </c>
      <c r="G27" s="26">
        <v>59802</v>
      </c>
      <c r="H27" s="27">
        <v>46.862900000000003</v>
      </c>
      <c r="I27" s="27">
        <v>-113.94172</v>
      </c>
      <c r="J27" s="25" t="s">
        <v>108</v>
      </c>
      <c r="K27" s="28">
        <v>0.04</v>
      </c>
      <c r="L27" s="24" t="s">
        <v>74</v>
      </c>
      <c r="M27" s="25" t="s">
        <v>61</v>
      </c>
      <c r="N27" s="24" t="s">
        <v>62</v>
      </c>
      <c r="O27" s="29">
        <v>120</v>
      </c>
      <c r="P27" s="24">
        <v>10</v>
      </c>
      <c r="Q27" s="30">
        <v>10211750</v>
      </c>
      <c r="R27" s="31">
        <v>8517295</v>
      </c>
      <c r="S27" s="31">
        <v>26000000</v>
      </c>
      <c r="T27" s="30">
        <v>11000000</v>
      </c>
      <c r="U27" s="32">
        <v>4.4999999999999998E-2</v>
      </c>
      <c r="V27" s="33">
        <v>15</v>
      </c>
      <c r="AC27" s="25" t="s">
        <v>203</v>
      </c>
      <c r="AD27" s="25" t="s">
        <v>204</v>
      </c>
      <c r="AE27" s="25" t="s">
        <v>205</v>
      </c>
      <c r="AF27" s="25" t="s">
        <v>108</v>
      </c>
      <c r="AG27" s="25" t="s">
        <v>67</v>
      </c>
      <c r="AH27" s="25">
        <v>59808</v>
      </c>
      <c r="AI27" s="37" t="s">
        <v>206</v>
      </c>
      <c r="AJ27" s="41">
        <v>4065324663</v>
      </c>
      <c r="AK27" s="38">
        <v>1147</v>
      </c>
      <c r="AL27" s="23">
        <f t="shared" si="12"/>
        <v>120</v>
      </c>
      <c r="AN27" s="25">
        <v>8</v>
      </c>
      <c r="AO27" s="25">
        <v>36</v>
      </c>
      <c r="AP27" s="25">
        <v>60</v>
      </c>
      <c r="AQ27" s="25">
        <v>16</v>
      </c>
      <c r="AW27" s="24" t="s">
        <v>80</v>
      </c>
      <c r="BB27" s="24">
        <v>120</v>
      </c>
      <c r="BG27" s="25">
        <f t="shared" si="13"/>
        <v>120</v>
      </c>
      <c r="BH27" s="39">
        <f t="shared" si="14"/>
        <v>0.6</v>
      </c>
      <c r="BJ27" s="40">
        <v>30770068</v>
      </c>
      <c r="BK27" s="40">
        <f>VLOOKUP(M27,[1]EconBenMult!$B$12:$D$14,2,TRUE)*(BJ27/1000000)</f>
        <v>238.77572767999999</v>
      </c>
      <c r="BL27" s="31">
        <f>VLOOKUP(M27,[1]EconBenMult!$B$12:$D$14,3,TRUE)*(BJ27/1000000)</f>
        <v>13176605.910306718</v>
      </c>
    </row>
    <row r="28" spans="1:68" x14ac:dyDescent="0.2">
      <c r="A28" s="22">
        <v>44851</v>
      </c>
      <c r="B28" s="23">
        <v>2023</v>
      </c>
      <c r="C28" s="24" t="s">
        <v>181</v>
      </c>
      <c r="D28" s="44" t="s">
        <v>208</v>
      </c>
      <c r="E28" s="25" t="s">
        <v>209</v>
      </c>
      <c r="F28" s="25" t="s">
        <v>210</v>
      </c>
      <c r="G28" s="26">
        <v>59701</v>
      </c>
      <c r="H28" s="27">
        <v>45.957700000000003</v>
      </c>
      <c r="I28" s="27">
        <v>-112.51326</v>
      </c>
      <c r="J28" s="44" t="s">
        <v>211</v>
      </c>
      <c r="K28" s="45">
        <v>0.09</v>
      </c>
      <c r="L28" s="46" t="s">
        <v>74</v>
      </c>
      <c r="M28" s="25" t="s">
        <v>95</v>
      </c>
      <c r="N28" s="47" t="s">
        <v>75</v>
      </c>
      <c r="O28" s="29">
        <v>26</v>
      </c>
      <c r="P28" s="23">
        <v>1</v>
      </c>
      <c r="Q28" s="30">
        <v>6500000</v>
      </c>
      <c r="R28" s="31">
        <v>5589439</v>
      </c>
      <c r="S28" s="31"/>
      <c r="T28" s="30"/>
      <c r="AC28" s="25" t="s">
        <v>212</v>
      </c>
      <c r="AD28" s="25" t="s">
        <v>213</v>
      </c>
      <c r="AE28" s="25" t="s">
        <v>214</v>
      </c>
      <c r="AF28" s="25" t="s">
        <v>215</v>
      </c>
      <c r="AG28" s="25" t="s">
        <v>216</v>
      </c>
      <c r="AH28" s="25">
        <v>83706</v>
      </c>
      <c r="AI28" s="37" t="s">
        <v>217</v>
      </c>
      <c r="AJ28" s="41">
        <v>2089477041</v>
      </c>
      <c r="AK28" s="38">
        <v>652</v>
      </c>
      <c r="AL28" s="23">
        <f t="shared" si="12"/>
        <v>26</v>
      </c>
      <c r="AO28" s="25">
        <v>13</v>
      </c>
      <c r="AP28" s="25">
        <v>13</v>
      </c>
      <c r="AW28" s="24" t="s">
        <v>80</v>
      </c>
      <c r="AZ28" s="24">
        <v>4</v>
      </c>
      <c r="BA28" s="24">
        <v>11</v>
      </c>
      <c r="BB28" s="24">
        <v>11</v>
      </c>
      <c r="BG28" s="25">
        <f t="shared" si="13"/>
        <v>26</v>
      </c>
      <c r="BH28" s="39">
        <f t="shared" si="14"/>
        <v>0.52692307692307694</v>
      </c>
      <c r="BJ28" s="40">
        <v>8017355</v>
      </c>
      <c r="BK28" s="40">
        <f>VLOOKUP(M28,[1]EconBenMult!$B$12:$D$14,2,TRUE)*(BJ28/1000000)</f>
        <v>96.448780650000003</v>
      </c>
      <c r="BL28" s="31">
        <f>VLOOKUP(M28,[1]EconBenMult!$B$12:$D$14,3,TRUE)*(BJ28/1000000)</f>
        <v>5605965.9166917503</v>
      </c>
    </row>
    <row r="29" spans="1:68" x14ac:dyDescent="0.2">
      <c r="A29" s="22">
        <v>44744</v>
      </c>
      <c r="B29" s="23">
        <v>2022</v>
      </c>
      <c r="C29" s="24" t="s">
        <v>181</v>
      </c>
      <c r="D29" s="25" t="s">
        <v>219</v>
      </c>
      <c r="E29" s="25" t="s">
        <v>220</v>
      </c>
      <c r="F29" s="25" t="s">
        <v>93</v>
      </c>
      <c r="G29" s="26">
        <v>59715</v>
      </c>
      <c r="H29" s="27">
        <v>45.694470000000003</v>
      </c>
      <c r="I29" s="27">
        <v>-111.05779</v>
      </c>
      <c r="J29" s="25" t="s">
        <v>94</v>
      </c>
      <c r="K29" s="28">
        <v>0.04</v>
      </c>
      <c r="L29" s="24" t="s">
        <v>147</v>
      </c>
      <c r="M29" s="25" t="s">
        <v>61</v>
      </c>
      <c r="N29" s="24" t="s">
        <v>221</v>
      </c>
      <c r="O29" s="29">
        <v>60</v>
      </c>
      <c r="P29" s="24">
        <v>1</v>
      </c>
      <c r="Q29" s="30">
        <v>5460890</v>
      </c>
      <c r="R29" s="31">
        <v>4636086</v>
      </c>
      <c r="S29" s="31"/>
      <c r="T29" s="30"/>
      <c r="Y29" s="34">
        <f t="shared" ref="Y29:Y92" si="15">IF(W29&gt;X29,W29,X29)</f>
        <v>0</v>
      </c>
      <c r="Z29" s="35">
        <f t="shared" ref="Z29:Z92" si="16">DATE(YEAR(Y29)+14,MONTH(Y29),DAY(Y29))</f>
        <v>5114</v>
      </c>
      <c r="AA29" s="36">
        <v>36</v>
      </c>
      <c r="AB29" s="35">
        <f t="shared" ref="AB29:AB92" si="17">DATE(YEAR(Z29)+AA29,MONTH(Z29),DAY(Z29))</f>
        <v>18263</v>
      </c>
      <c r="AC29" s="25" t="s">
        <v>222</v>
      </c>
      <c r="AD29" s="25" t="s">
        <v>128</v>
      </c>
      <c r="AE29" s="25" t="s">
        <v>129</v>
      </c>
      <c r="AF29" s="25" t="s">
        <v>130</v>
      </c>
      <c r="AG29" s="25" t="s">
        <v>131</v>
      </c>
      <c r="AH29" s="25">
        <v>98004</v>
      </c>
      <c r="AI29" s="37" t="s">
        <v>132</v>
      </c>
      <c r="AJ29" s="41" t="s">
        <v>223</v>
      </c>
      <c r="AK29" s="38">
        <v>30</v>
      </c>
      <c r="AL29" s="23">
        <v>60</v>
      </c>
      <c r="AO29" s="25">
        <v>45</v>
      </c>
      <c r="AP29" s="25">
        <v>15</v>
      </c>
      <c r="AW29" s="24" t="s">
        <v>80</v>
      </c>
      <c r="BB29" s="24">
        <v>60</v>
      </c>
      <c r="BG29" s="25">
        <f t="shared" ref="BG29" si="18">SUM(AY29:BF29)</f>
        <v>60</v>
      </c>
      <c r="BH29" s="39">
        <f t="shared" si="14"/>
        <v>0.6</v>
      </c>
      <c r="BJ29" s="40">
        <v>14027890</v>
      </c>
      <c r="BK29" s="40">
        <f>VLOOKUP(M29,[1]EconBenMult!$B$12:$D$14,2,TRUE)*(BJ29/1000000)</f>
        <v>108.85642639999999</v>
      </c>
      <c r="BL29" s="31">
        <f>VLOOKUP(M29,[1]EconBenMult!$B$12:$D$14,3,TRUE)*(BJ29/1000000)</f>
        <v>6007135.8400355997</v>
      </c>
    </row>
    <row r="30" spans="1:68" ht="15" customHeight="1" x14ac:dyDescent="0.2">
      <c r="A30" s="22">
        <v>44658</v>
      </c>
      <c r="B30" s="23">
        <v>2022</v>
      </c>
      <c r="C30" s="24" t="s">
        <v>181</v>
      </c>
      <c r="D30" s="44" t="s">
        <v>224</v>
      </c>
      <c r="E30" s="25" t="s">
        <v>225</v>
      </c>
      <c r="F30" s="44" t="s">
        <v>226</v>
      </c>
      <c r="G30" s="26">
        <v>59044</v>
      </c>
      <c r="H30" s="27">
        <v>45.676029999999997</v>
      </c>
      <c r="I30" s="27">
        <v>-108.78215</v>
      </c>
      <c r="J30" s="44" t="s">
        <v>114</v>
      </c>
      <c r="K30" s="45">
        <v>0.04</v>
      </c>
      <c r="L30" s="46" t="s">
        <v>60</v>
      </c>
      <c r="M30" s="25" t="s">
        <v>61</v>
      </c>
      <c r="N30" s="47" t="s">
        <v>75</v>
      </c>
      <c r="O30" s="29">
        <v>50</v>
      </c>
      <c r="P30" s="23">
        <v>9</v>
      </c>
      <c r="Q30" s="30">
        <v>2867056</v>
      </c>
      <c r="R30" s="30">
        <v>2164414</v>
      </c>
      <c r="S30" s="30">
        <v>4805645</v>
      </c>
      <c r="T30" s="30"/>
      <c r="U30" s="32">
        <v>2.2499999999999999E-2</v>
      </c>
      <c r="V30" s="33">
        <v>30</v>
      </c>
      <c r="W30" s="22"/>
      <c r="X30" s="22"/>
      <c r="Y30" s="34">
        <f t="shared" si="15"/>
        <v>0</v>
      </c>
      <c r="Z30" s="35">
        <f t="shared" si="16"/>
        <v>5114</v>
      </c>
      <c r="AA30" s="56"/>
      <c r="AB30" s="35">
        <f t="shared" si="17"/>
        <v>5114</v>
      </c>
      <c r="AC30" s="25" t="s">
        <v>115</v>
      </c>
      <c r="AD30" s="25" t="s">
        <v>116</v>
      </c>
      <c r="AE30" s="25" t="s">
        <v>227</v>
      </c>
      <c r="AF30" s="25" t="s">
        <v>103</v>
      </c>
      <c r="AG30" s="25" t="s">
        <v>67</v>
      </c>
      <c r="AH30" s="25">
        <v>59602</v>
      </c>
      <c r="AI30" s="37" t="s">
        <v>118</v>
      </c>
      <c r="AJ30" s="41">
        <v>4064595332</v>
      </c>
      <c r="AK30" s="38">
        <v>65</v>
      </c>
      <c r="AL30" s="23">
        <f>SUM(AM30:AV30)</f>
        <v>50</v>
      </c>
      <c r="AN30" s="57"/>
      <c r="AO30" s="25">
        <v>37</v>
      </c>
      <c r="AP30" s="25">
        <v>13</v>
      </c>
      <c r="AW30" s="24" t="s">
        <v>228</v>
      </c>
      <c r="AY30" s="24">
        <v>4</v>
      </c>
      <c r="AZ30" s="24">
        <v>4</v>
      </c>
      <c r="BA30" s="24">
        <v>39</v>
      </c>
      <c r="BD30" s="24">
        <v>15</v>
      </c>
      <c r="BG30" s="25">
        <f>SUM(AY30:BF30)</f>
        <v>62</v>
      </c>
      <c r="BH30" s="39">
        <f>((AY30*AY$1)+(AZ30*AZ$1)+(BA30*BA$1)+(BB30*BB$1)+(BC30*BC$1)+(BD30*BD$1))/SUM(AY30:BD30)</f>
        <v>0.5532258064516129</v>
      </c>
      <c r="BJ30" s="40">
        <v>9916143</v>
      </c>
      <c r="BK30" s="40">
        <f>VLOOKUP(M30,[1]EconBenMult!$B$12:$D$14,2,TRUE)*(BJ30/1000000)</f>
        <v>76.94926968</v>
      </c>
      <c r="BL30" s="31">
        <f>VLOOKUP(M30,[1]EconBenMult!$B$12:$D$14,3,TRUE)*(BJ30/1000000)</f>
        <v>4246370.4812497199</v>
      </c>
    </row>
    <row r="31" spans="1:68" ht="15" customHeight="1" x14ac:dyDescent="0.2">
      <c r="A31" s="22">
        <v>44658</v>
      </c>
      <c r="B31" s="23">
        <v>2022</v>
      </c>
      <c r="C31" s="24" t="s">
        <v>181</v>
      </c>
      <c r="D31" s="44" t="s">
        <v>229</v>
      </c>
      <c r="E31" s="25" t="s">
        <v>230</v>
      </c>
      <c r="F31" s="44" t="s">
        <v>231</v>
      </c>
      <c r="G31" s="26">
        <v>59041</v>
      </c>
      <c r="H31" s="27">
        <v>45.487160000000003</v>
      </c>
      <c r="I31" s="27">
        <v>-108.94302</v>
      </c>
      <c r="J31" s="44" t="s">
        <v>232</v>
      </c>
      <c r="K31" s="45">
        <v>0.04</v>
      </c>
      <c r="L31" s="46" t="s">
        <v>60</v>
      </c>
      <c r="M31" s="25" t="s">
        <v>61</v>
      </c>
      <c r="N31" s="47" t="s">
        <v>75</v>
      </c>
      <c r="O31" s="29">
        <v>12</v>
      </c>
      <c r="P31" s="23">
        <v>3</v>
      </c>
      <c r="Q31" s="30">
        <v>688094</v>
      </c>
      <c r="R31" s="30">
        <v>519459</v>
      </c>
      <c r="S31" s="30">
        <v>1153355</v>
      </c>
      <c r="T31" s="30"/>
      <c r="W31" s="22"/>
      <c r="X31" s="22"/>
      <c r="Y31" s="34">
        <f t="shared" si="15"/>
        <v>0</v>
      </c>
      <c r="Z31" s="35">
        <f t="shared" si="16"/>
        <v>5114</v>
      </c>
      <c r="AA31" s="56"/>
      <c r="AB31" s="35">
        <f t="shared" si="17"/>
        <v>5114</v>
      </c>
      <c r="AC31" s="25" t="s">
        <v>115</v>
      </c>
      <c r="AD31" s="25" t="s">
        <v>116</v>
      </c>
      <c r="AE31" s="25" t="s">
        <v>233</v>
      </c>
      <c r="AF31" s="25" t="s">
        <v>103</v>
      </c>
      <c r="AG31" s="25" t="s">
        <v>67</v>
      </c>
      <c r="AH31" s="25">
        <v>59602</v>
      </c>
      <c r="AI31" s="37" t="s">
        <v>118</v>
      </c>
      <c r="AJ31" s="41" t="s">
        <v>234</v>
      </c>
      <c r="AK31" s="38">
        <v>10</v>
      </c>
      <c r="AL31" s="23">
        <f>SUM(AM31:AV31)</f>
        <v>12</v>
      </c>
      <c r="AN31" s="57"/>
      <c r="AO31" s="25">
        <v>11</v>
      </c>
      <c r="AP31" s="25">
        <v>1</v>
      </c>
      <c r="AW31" s="24" t="s">
        <v>228</v>
      </c>
      <c r="BG31" s="25">
        <f>SUM(AY31:BF31)</f>
        <v>0</v>
      </c>
      <c r="BH31" s="39"/>
      <c r="BJ31" s="40">
        <v>2379874</v>
      </c>
      <c r="BK31" s="40">
        <f>VLOOKUP(M31,[1]EconBenMult!$B$12:$D$14,2,TRUE)*(BJ31/1000000)</f>
        <v>18.46782224</v>
      </c>
      <c r="BL31" s="31">
        <f>VLOOKUP(M31,[1]EconBenMult!$B$12:$D$14,3,TRUE)*(BJ31/1000000)</f>
        <v>1019128.7784669599</v>
      </c>
    </row>
    <row r="32" spans="1:68" s="62" customFormat="1" x14ac:dyDescent="0.2">
      <c r="A32" s="58">
        <v>44515</v>
      </c>
      <c r="B32" s="59">
        <v>2022</v>
      </c>
      <c r="C32" s="60" t="s">
        <v>181</v>
      </c>
      <c r="D32" s="61" t="s">
        <v>235</v>
      </c>
      <c r="E32" s="62" t="s">
        <v>236</v>
      </c>
      <c r="F32" s="61" t="s">
        <v>237</v>
      </c>
      <c r="G32" s="63">
        <v>59457</v>
      </c>
      <c r="H32" s="64">
        <v>47.065069999999999</v>
      </c>
      <c r="I32" s="64">
        <v>-109.42624000000001</v>
      </c>
      <c r="J32" s="61" t="s">
        <v>238</v>
      </c>
      <c r="K32" s="65">
        <v>0.09</v>
      </c>
      <c r="L32" s="66" t="s">
        <v>239</v>
      </c>
      <c r="M32" s="62" t="s">
        <v>95</v>
      </c>
      <c r="N32" s="67" t="s">
        <v>62</v>
      </c>
      <c r="O32" s="68">
        <v>16</v>
      </c>
      <c r="P32" s="59">
        <v>1</v>
      </c>
      <c r="Q32" s="69">
        <v>220000</v>
      </c>
      <c r="R32" s="70">
        <v>178182</v>
      </c>
      <c r="S32" s="69"/>
      <c r="T32" s="69"/>
      <c r="U32" s="71"/>
      <c r="V32" s="72"/>
      <c r="W32" s="58"/>
      <c r="X32" s="58"/>
      <c r="Y32" s="34">
        <f t="shared" si="15"/>
        <v>0</v>
      </c>
      <c r="Z32" s="35">
        <f t="shared" si="16"/>
        <v>5114</v>
      </c>
      <c r="AA32" s="74">
        <v>31</v>
      </c>
      <c r="AB32" s="75">
        <f t="shared" si="17"/>
        <v>16437</v>
      </c>
      <c r="AC32" s="62" t="s">
        <v>240</v>
      </c>
      <c r="AD32" s="62" t="s">
        <v>241</v>
      </c>
      <c r="AE32" s="62" t="s">
        <v>242</v>
      </c>
      <c r="AF32" s="62" t="s">
        <v>108</v>
      </c>
      <c r="AG32" s="62" t="s">
        <v>67</v>
      </c>
      <c r="AH32" s="62">
        <v>59808</v>
      </c>
      <c r="AI32" s="37" t="s">
        <v>206</v>
      </c>
      <c r="AJ32" s="41" t="s">
        <v>243</v>
      </c>
      <c r="AK32" s="76">
        <v>101</v>
      </c>
      <c r="AL32" s="59">
        <v>16</v>
      </c>
      <c r="AN32" s="77">
        <v>4</v>
      </c>
      <c r="AO32" s="62">
        <v>10</v>
      </c>
      <c r="AP32" s="62">
        <v>2</v>
      </c>
      <c r="AW32" s="60" t="s">
        <v>228</v>
      </c>
      <c r="AX32" s="60"/>
      <c r="AY32" s="60"/>
      <c r="AZ32" s="60"/>
      <c r="BA32" s="60"/>
      <c r="BB32" s="60"/>
      <c r="BC32" s="60"/>
      <c r="BD32" s="60"/>
      <c r="BE32" s="60"/>
      <c r="BH32" s="78"/>
      <c r="BJ32" s="40">
        <v>4390450</v>
      </c>
      <c r="BK32" s="40"/>
      <c r="BL32" s="31"/>
      <c r="BM32" s="40"/>
      <c r="BN32" s="40"/>
      <c r="BO32" s="40"/>
      <c r="BP32" s="40"/>
    </row>
    <row r="33" spans="1:64" ht="15" customHeight="1" x14ac:dyDescent="0.2">
      <c r="A33" s="22">
        <v>44515</v>
      </c>
      <c r="B33" s="23">
        <v>2022</v>
      </c>
      <c r="C33" s="24" t="s">
        <v>181</v>
      </c>
      <c r="D33" s="44" t="s">
        <v>244</v>
      </c>
      <c r="E33" s="25" t="s">
        <v>245</v>
      </c>
      <c r="F33" s="44" t="s">
        <v>246</v>
      </c>
      <c r="G33" s="26">
        <v>59716</v>
      </c>
      <c r="H33" s="27">
        <v>45.266240000000003</v>
      </c>
      <c r="I33" s="27">
        <v>-111.29076000000001</v>
      </c>
      <c r="J33" s="44" t="s">
        <v>94</v>
      </c>
      <c r="K33" s="45">
        <v>0.09</v>
      </c>
      <c r="L33" s="46" t="s">
        <v>60</v>
      </c>
      <c r="M33" s="25" t="s">
        <v>95</v>
      </c>
      <c r="N33" s="47" t="s">
        <v>62</v>
      </c>
      <c r="O33" s="29">
        <v>25</v>
      </c>
      <c r="P33" s="23">
        <v>1</v>
      </c>
      <c r="Q33" s="30">
        <v>6491250</v>
      </c>
      <c r="R33" s="79">
        <v>5646824</v>
      </c>
      <c r="S33" s="30"/>
      <c r="T33" s="30"/>
      <c r="W33" s="22"/>
      <c r="X33" s="22"/>
      <c r="Y33" s="34">
        <f t="shared" si="15"/>
        <v>0</v>
      </c>
      <c r="Z33" s="35">
        <f t="shared" si="16"/>
        <v>5114</v>
      </c>
      <c r="AA33" s="56">
        <v>31</v>
      </c>
      <c r="AB33" s="35">
        <f t="shared" si="17"/>
        <v>16437</v>
      </c>
      <c r="AC33" s="25" t="s">
        <v>247</v>
      </c>
      <c r="AD33" s="25" t="s">
        <v>248</v>
      </c>
      <c r="AE33" s="25" t="s">
        <v>249</v>
      </c>
      <c r="AF33" s="25" t="s">
        <v>108</v>
      </c>
      <c r="AG33" s="25" t="s">
        <v>67</v>
      </c>
      <c r="AH33" s="25">
        <v>59801</v>
      </c>
      <c r="AI33" s="37" t="s">
        <v>250</v>
      </c>
      <c r="AJ33" s="41">
        <v>4069261401</v>
      </c>
      <c r="AK33" s="38">
        <v>49</v>
      </c>
      <c r="AL33" s="23">
        <f t="shared" ref="AL33:AL67" si="19">SUM(AM33:AV33)</f>
        <v>25</v>
      </c>
      <c r="AN33" s="57"/>
      <c r="AO33" s="25">
        <v>6</v>
      </c>
      <c r="AP33" s="25">
        <v>11</v>
      </c>
      <c r="AQ33" s="25">
        <v>7</v>
      </c>
      <c r="AV33" s="25">
        <v>1</v>
      </c>
      <c r="AW33" s="24" t="s">
        <v>80</v>
      </c>
      <c r="AY33" s="24">
        <v>1</v>
      </c>
      <c r="BA33" s="24">
        <v>9</v>
      </c>
      <c r="BB33" s="24">
        <v>7</v>
      </c>
      <c r="BC33" s="24">
        <v>4</v>
      </c>
      <c r="BD33" s="24">
        <v>3</v>
      </c>
      <c r="BF33" s="24">
        <v>1</v>
      </c>
      <c r="BG33" s="25">
        <f t="shared" ref="BG33:BG67" si="20">SUM(AY33:BF33)</f>
        <v>25</v>
      </c>
      <c r="BH33" s="39">
        <f t="shared" ref="BH33:BH67" si="21">((AY33*AY$1)+(AZ33*AZ$1)+(BA33*BA$1)+(BB33*BB$1)+(BC33*BC$1)+(BD33*BD$1))/SUM(AY33:BD33)</f>
        <v>0.59166666666666667</v>
      </c>
      <c r="BJ33" s="40">
        <v>7656054</v>
      </c>
      <c r="BK33" s="40">
        <f>VLOOKUP(M33,[1]EconBenMult!$B$12:$D$14,2,TRUE)*(BJ33/1000000)</f>
        <v>92.102329619999992</v>
      </c>
      <c r="BL33" s="31">
        <f>VLOOKUP(M33,[1]EconBenMult!$B$12:$D$14,3,TRUE)*(BJ33/1000000)</f>
        <v>5353333.8339579003</v>
      </c>
    </row>
    <row r="34" spans="1:64" ht="15" customHeight="1" x14ac:dyDescent="0.2">
      <c r="A34" s="22"/>
      <c r="B34" s="23">
        <v>2022</v>
      </c>
      <c r="C34" s="24" t="s">
        <v>181</v>
      </c>
      <c r="D34" s="44" t="s">
        <v>251</v>
      </c>
      <c r="E34" s="25" t="s">
        <v>252</v>
      </c>
      <c r="F34" s="44" t="s">
        <v>66</v>
      </c>
      <c r="G34" s="26">
        <v>59901</v>
      </c>
      <c r="H34" s="27">
        <v>48.210099999999997</v>
      </c>
      <c r="I34" s="27">
        <v>-114.33002999999999</v>
      </c>
      <c r="J34" s="44" t="s">
        <v>59</v>
      </c>
      <c r="K34" s="45">
        <v>0.04</v>
      </c>
      <c r="L34" s="46" t="s">
        <v>60</v>
      </c>
      <c r="M34" s="25" t="s">
        <v>95</v>
      </c>
      <c r="N34" s="47" t="s">
        <v>62</v>
      </c>
      <c r="O34" s="29">
        <v>114</v>
      </c>
      <c r="P34" s="23">
        <v>7</v>
      </c>
      <c r="Q34" s="30">
        <v>15723498</v>
      </c>
      <c r="R34" s="79">
        <v>14385562</v>
      </c>
      <c r="S34" s="30">
        <v>22500000</v>
      </c>
      <c r="T34" s="30">
        <v>13624144</v>
      </c>
      <c r="U34" s="32">
        <v>4.1000000000000002E-2</v>
      </c>
      <c r="V34" s="33">
        <v>35</v>
      </c>
      <c r="W34" s="22"/>
      <c r="X34" s="22"/>
      <c r="Y34" s="34">
        <f t="shared" si="15"/>
        <v>0</v>
      </c>
      <c r="Z34" s="35">
        <f t="shared" si="16"/>
        <v>5114</v>
      </c>
      <c r="AA34" s="56">
        <v>31</v>
      </c>
      <c r="AB34" s="35">
        <f t="shared" si="17"/>
        <v>16437</v>
      </c>
      <c r="AC34" s="25" t="s">
        <v>253</v>
      </c>
      <c r="AD34" s="25" t="s">
        <v>254</v>
      </c>
      <c r="AE34" s="25" t="s">
        <v>255</v>
      </c>
      <c r="AF34" s="25" t="s">
        <v>256</v>
      </c>
      <c r="AG34" s="25" t="s">
        <v>131</v>
      </c>
      <c r="AH34" s="25">
        <v>98101</v>
      </c>
      <c r="AI34" s="37" t="s">
        <v>257</v>
      </c>
      <c r="AJ34" s="41">
        <v>2067456464</v>
      </c>
      <c r="AK34" s="38">
        <v>161</v>
      </c>
      <c r="AL34" s="23">
        <f t="shared" si="19"/>
        <v>114</v>
      </c>
      <c r="AO34" s="25">
        <f>19*3</f>
        <v>57</v>
      </c>
      <c r="AP34" s="25">
        <f>12+12+11</f>
        <v>35</v>
      </c>
      <c r="AQ34" s="25">
        <f>7+8+6</f>
        <v>21</v>
      </c>
      <c r="AV34" s="25">
        <v>1</v>
      </c>
      <c r="AW34" s="24" t="s">
        <v>80</v>
      </c>
      <c r="BB34" s="24">
        <v>113</v>
      </c>
      <c r="BF34" s="25">
        <v>1</v>
      </c>
      <c r="BG34" s="25">
        <f t="shared" si="20"/>
        <v>114</v>
      </c>
      <c r="BH34" s="39">
        <f t="shared" si="21"/>
        <v>0.6</v>
      </c>
      <c r="BJ34" s="40">
        <v>32481106</v>
      </c>
      <c r="BK34" s="40">
        <f>VLOOKUP(M34,[1]EconBenMult!$B$12:$D$14,2,TRUE)*(BJ34/1000000)</f>
        <v>390.74770517999997</v>
      </c>
      <c r="BL34" s="31">
        <f>VLOOKUP(M34,[1]EconBenMult!$B$12:$D$14,3,TRUE)*(BJ34/1000000)</f>
        <v>22711726.395108096</v>
      </c>
    </row>
    <row r="35" spans="1:64" ht="15" customHeight="1" x14ac:dyDescent="0.2">
      <c r="A35" s="22">
        <v>44488</v>
      </c>
      <c r="B35" s="23">
        <v>2022</v>
      </c>
      <c r="C35" s="24" t="s">
        <v>181</v>
      </c>
      <c r="D35" s="44" t="s">
        <v>258</v>
      </c>
      <c r="E35" s="25" t="s">
        <v>259</v>
      </c>
      <c r="F35" s="44" t="s">
        <v>66</v>
      </c>
      <c r="G35" s="26">
        <v>59901</v>
      </c>
      <c r="H35" s="27">
        <v>48.210450000000002</v>
      </c>
      <c r="I35" s="27">
        <v>-114.32933</v>
      </c>
      <c r="J35" s="44" t="s">
        <v>59</v>
      </c>
      <c r="K35" s="45">
        <v>0.09</v>
      </c>
      <c r="L35" s="46" t="s">
        <v>60</v>
      </c>
      <c r="M35" s="25" t="s">
        <v>95</v>
      </c>
      <c r="N35" s="47" t="s">
        <v>62</v>
      </c>
      <c r="O35" s="29">
        <v>24</v>
      </c>
      <c r="P35" s="23">
        <v>1</v>
      </c>
      <c r="Q35" s="30">
        <v>4780000</v>
      </c>
      <c r="R35" s="79">
        <v>4062594</v>
      </c>
      <c r="S35" s="30"/>
      <c r="T35" s="30"/>
      <c r="W35" s="22"/>
      <c r="X35" s="22"/>
      <c r="Y35" s="34">
        <f t="shared" si="15"/>
        <v>0</v>
      </c>
      <c r="Z35" s="35">
        <f t="shared" si="16"/>
        <v>5114</v>
      </c>
      <c r="AA35" s="56">
        <v>31</v>
      </c>
      <c r="AB35" s="35">
        <f t="shared" si="17"/>
        <v>16437</v>
      </c>
      <c r="AC35" s="25" t="s">
        <v>253</v>
      </c>
      <c r="AD35" s="25" t="s">
        <v>254</v>
      </c>
      <c r="AE35" s="25" t="s">
        <v>255</v>
      </c>
      <c r="AF35" s="25" t="s">
        <v>256</v>
      </c>
      <c r="AG35" s="25" t="s">
        <v>131</v>
      </c>
      <c r="AH35" s="25">
        <v>98101</v>
      </c>
      <c r="AI35" s="37" t="s">
        <v>257</v>
      </c>
      <c r="AJ35" s="41">
        <v>2067456464</v>
      </c>
      <c r="AK35" s="38"/>
      <c r="AL35" s="23">
        <v>24</v>
      </c>
      <c r="AO35" s="25">
        <v>11</v>
      </c>
      <c r="AP35" s="25">
        <v>6</v>
      </c>
      <c r="AQ35" s="25">
        <v>6</v>
      </c>
      <c r="AV35" s="25">
        <v>1</v>
      </c>
      <c r="AW35" s="24" t="s">
        <v>80</v>
      </c>
      <c r="BA35" s="24">
        <f>6+3+3</f>
        <v>12</v>
      </c>
      <c r="BB35" s="24">
        <f>6+3+2</f>
        <v>11</v>
      </c>
      <c r="BF35" s="25">
        <v>1</v>
      </c>
      <c r="BG35" s="25">
        <f t="shared" si="20"/>
        <v>24</v>
      </c>
      <c r="BH35" s="39">
        <f t="shared" si="21"/>
        <v>0.54782608695652169</v>
      </c>
      <c r="BJ35" s="40">
        <v>5881688</v>
      </c>
      <c r="BK35" s="40">
        <f>VLOOKUP(M35,[1]EconBenMult!$B$12:$D$14,2,TRUE)*(BJ35/1000000)</f>
        <v>70.75670663999999</v>
      </c>
      <c r="BL35" s="31">
        <f>VLOOKUP(M35,[1]EconBenMult!$B$12:$D$14,3,TRUE)*(BJ35/1000000)</f>
        <v>4112645.9362987997</v>
      </c>
    </row>
    <row r="36" spans="1:64" ht="15" customHeight="1" x14ac:dyDescent="0.2">
      <c r="A36" s="22">
        <v>44488</v>
      </c>
      <c r="B36" s="23">
        <v>2022</v>
      </c>
      <c r="C36" s="24" t="s">
        <v>181</v>
      </c>
      <c r="D36" s="44" t="s">
        <v>260</v>
      </c>
      <c r="E36" s="25" t="s">
        <v>261</v>
      </c>
      <c r="F36" s="44" t="s">
        <v>262</v>
      </c>
      <c r="G36" s="26">
        <v>59725</v>
      </c>
      <c r="H36" s="27">
        <v>45.219279999999998</v>
      </c>
      <c r="I36" s="27">
        <v>-112.63773999999999</v>
      </c>
      <c r="J36" s="44" t="s">
        <v>263</v>
      </c>
      <c r="K36" s="45">
        <v>0.09</v>
      </c>
      <c r="L36" s="46" t="s">
        <v>60</v>
      </c>
      <c r="M36" s="25" t="s">
        <v>61</v>
      </c>
      <c r="N36" s="47" t="s">
        <v>75</v>
      </c>
      <c r="O36" s="29">
        <v>58</v>
      </c>
      <c r="P36" s="23">
        <v>3</v>
      </c>
      <c r="Q36" s="30">
        <v>5590170</v>
      </c>
      <c r="R36" s="79">
        <v>4527585</v>
      </c>
      <c r="S36" s="30"/>
      <c r="T36" s="30"/>
      <c r="W36" s="22"/>
      <c r="X36" s="22"/>
      <c r="Y36" s="34">
        <f t="shared" si="15"/>
        <v>0</v>
      </c>
      <c r="Z36" s="35">
        <f t="shared" si="16"/>
        <v>5114</v>
      </c>
      <c r="AA36" s="56">
        <v>31</v>
      </c>
      <c r="AB36" s="35">
        <f t="shared" si="17"/>
        <v>16437</v>
      </c>
      <c r="AC36" s="25" t="s">
        <v>264</v>
      </c>
      <c r="AD36" s="25" t="s">
        <v>265</v>
      </c>
      <c r="AE36" s="25" t="s">
        <v>266</v>
      </c>
      <c r="AF36" s="25" t="s">
        <v>267</v>
      </c>
      <c r="AG36" s="25" t="s">
        <v>89</v>
      </c>
      <c r="AH36" s="25">
        <v>94945</v>
      </c>
      <c r="AI36" s="37" t="s">
        <v>268</v>
      </c>
      <c r="AJ36" s="41">
        <v>8012446658</v>
      </c>
      <c r="AK36" s="38">
        <v>54</v>
      </c>
      <c r="AL36" s="23">
        <f t="shared" si="19"/>
        <v>58</v>
      </c>
      <c r="AN36" s="57">
        <f>1+4+2</f>
        <v>7</v>
      </c>
      <c r="AO36" s="25">
        <f>4+29+3+11</f>
        <v>47</v>
      </c>
      <c r="AP36" s="25">
        <f>1+2+1</f>
        <v>4</v>
      </c>
      <c r="AW36" s="24" t="s">
        <v>80</v>
      </c>
      <c r="AZ36" s="24">
        <f>1+4+1</f>
        <v>6</v>
      </c>
      <c r="BA36" s="24">
        <v>36</v>
      </c>
      <c r="BB36" s="24">
        <v>16</v>
      </c>
      <c r="BG36" s="25">
        <f t="shared" si="20"/>
        <v>58</v>
      </c>
      <c r="BH36" s="39">
        <f t="shared" si="21"/>
        <v>0.51724137931034486</v>
      </c>
      <c r="BJ36" s="40">
        <v>8302660</v>
      </c>
      <c r="BK36" s="40">
        <f>VLOOKUP(M36,[1]EconBenMult!$B$12:$D$14,2,TRUE)*(BJ36/1000000)</f>
        <v>64.428641599999992</v>
      </c>
      <c r="BL36" s="31">
        <f>VLOOKUP(M36,[1]EconBenMult!$B$12:$D$14,3,TRUE)*(BJ36/1000000)</f>
        <v>3555431.8185863998</v>
      </c>
    </row>
    <row r="37" spans="1:64" ht="15" customHeight="1" x14ac:dyDescent="0.2">
      <c r="A37" s="22">
        <v>44488</v>
      </c>
      <c r="B37" s="23">
        <v>2022</v>
      </c>
      <c r="C37" s="24" t="s">
        <v>181</v>
      </c>
      <c r="D37" s="44" t="s">
        <v>269</v>
      </c>
      <c r="E37" s="25" t="s">
        <v>270</v>
      </c>
      <c r="F37" s="44" t="s">
        <v>83</v>
      </c>
      <c r="G37" s="26">
        <v>59405</v>
      </c>
      <c r="H37" s="27">
        <v>47.503010000000003</v>
      </c>
      <c r="I37" s="27">
        <v>-111.30055</v>
      </c>
      <c r="J37" s="44" t="s">
        <v>84</v>
      </c>
      <c r="K37" s="45">
        <v>0.09</v>
      </c>
      <c r="L37" s="46" t="s">
        <v>239</v>
      </c>
      <c r="M37" s="25" t="s">
        <v>95</v>
      </c>
      <c r="N37" s="47" t="s">
        <v>62</v>
      </c>
      <c r="O37" s="29">
        <v>25</v>
      </c>
      <c r="P37" s="23">
        <v>1</v>
      </c>
      <c r="Q37" s="30">
        <v>6100000</v>
      </c>
      <c r="R37" s="79">
        <v>5001500</v>
      </c>
      <c r="S37" s="30"/>
      <c r="T37" s="30"/>
      <c r="W37" s="22"/>
      <c r="X37" s="22"/>
      <c r="Y37" s="34">
        <f t="shared" si="15"/>
        <v>0</v>
      </c>
      <c r="Z37" s="35">
        <f t="shared" si="16"/>
        <v>5114</v>
      </c>
      <c r="AA37" s="56">
        <v>31</v>
      </c>
      <c r="AB37" s="35">
        <f t="shared" si="17"/>
        <v>16437</v>
      </c>
      <c r="AC37" s="25" t="s">
        <v>271</v>
      </c>
      <c r="AD37" s="25" t="s">
        <v>204</v>
      </c>
      <c r="AE37" s="25" t="s">
        <v>205</v>
      </c>
      <c r="AF37" s="25" t="s">
        <v>272</v>
      </c>
      <c r="AG37" s="25" t="s">
        <v>67</v>
      </c>
      <c r="AH37" s="25">
        <v>59808</v>
      </c>
      <c r="AI37" s="37" t="s">
        <v>206</v>
      </c>
      <c r="AJ37" s="41">
        <v>4065324663</v>
      </c>
      <c r="AK37" s="38">
        <v>1139</v>
      </c>
      <c r="AL37" s="23">
        <f t="shared" si="19"/>
        <v>25</v>
      </c>
      <c r="AN37" s="57">
        <v>4</v>
      </c>
      <c r="AO37" s="25">
        <v>16</v>
      </c>
      <c r="AP37" s="25">
        <v>4</v>
      </c>
      <c r="AV37" s="25">
        <v>1</v>
      </c>
      <c r="AW37" s="24" t="s">
        <v>80</v>
      </c>
      <c r="AZ37" s="24">
        <v>3</v>
      </c>
      <c r="BA37" s="24">
        <v>16</v>
      </c>
      <c r="BB37" s="24">
        <v>5</v>
      </c>
      <c r="BF37" s="24">
        <v>1</v>
      </c>
      <c r="BG37" s="25">
        <f t="shared" si="20"/>
        <v>25</v>
      </c>
      <c r="BH37" s="39">
        <f>((AY37*AY$1)+(AZ37*AZ$1)+(BA37*BA$1)+(BB37*BB$1)+(BC37*BC$1)+(BD37*BD$1))/SUM(AY37:BD37)</f>
        <v>0.5083333333333333</v>
      </c>
      <c r="BJ37" s="40">
        <v>8726447</v>
      </c>
      <c r="BK37" s="40">
        <f>VLOOKUP(M37,[1]EconBenMult!$B$12:$D$14,2,TRUE)*(BJ37/1000000)</f>
        <v>104.97915741</v>
      </c>
      <c r="BL37" s="31">
        <f>VLOOKUP(M37,[1]EconBenMult!$B$12:$D$14,3,TRUE)*(BJ37/1000000)</f>
        <v>6101783.5003959499</v>
      </c>
    </row>
    <row r="38" spans="1:64" ht="15" customHeight="1" x14ac:dyDescent="0.2">
      <c r="A38" s="22">
        <v>44488</v>
      </c>
      <c r="B38" s="23">
        <v>2022</v>
      </c>
      <c r="C38" s="24" t="s">
        <v>181</v>
      </c>
      <c r="D38" s="44" t="s">
        <v>273</v>
      </c>
      <c r="E38" s="25" t="s">
        <v>274</v>
      </c>
      <c r="F38" s="44" t="s">
        <v>113</v>
      </c>
      <c r="G38" s="26">
        <v>59101</v>
      </c>
      <c r="H38" s="27">
        <v>45.778410000000001</v>
      </c>
      <c r="I38" s="27">
        <v>-108.50557000000001</v>
      </c>
      <c r="J38" s="44" t="s">
        <v>114</v>
      </c>
      <c r="K38" s="45">
        <v>0.09</v>
      </c>
      <c r="L38" s="46" t="s">
        <v>239</v>
      </c>
      <c r="M38" s="25" t="s">
        <v>95</v>
      </c>
      <c r="N38" s="47" t="s">
        <v>62</v>
      </c>
      <c r="O38" s="29">
        <v>26</v>
      </c>
      <c r="P38" s="23">
        <v>1</v>
      </c>
      <c r="Q38" s="30">
        <v>6200000</v>
      </c>
      <c r="R38" s="79">
        <v>5331467</v>
      </c>
      <c r="S38" s="30"/>
      <c r="T38" s="30"/>
      <c r="W38" s="22"/>
      <c r="X38" s="22"/>
      <c r="Y38" s="34">
        <f t="shared" si="15"/>
        <v>0</v>
      </c>
      <c r="Z38" s="35">
        <f t="shared" si="16"/>
        <v>5114</v>
      </c>
      <c r="AA38" s="56">
        <v>31</v>
      </c>
      <c r="AB38" s="35">
        <f t="shared" si="17"/>
        <v>16437</v>
      </c>
      <c r="AC38" s="25" t="s">
        <v>275</v>
      </c>
      <c r="AD38" s="25" t="s">
        <v>276</v>
      </c>
      <c r="AE38" s="25" t="s">
        <v>277</v>
      </c>
      <c r="AF38" s="25" t="s">
        <v>113</v>
      </c>
      <c r="AG38" s="25" t="s">
        <v>67</v>
      </c>
      <c r="AH38" s="25">
        <v>59103</v>
      </c>
      <c r="AI38" s="37" t="s">
        <v>278</v>
      </c>
      <c r="AJ38" s="41">
        <v>4068611528</v>
      </c>
      <c r="AK38" s="38">
        <v>1423</v>
      </c>
      <c r="AL38" s="23">
        <f t="shared" si="19"/>
        <v>26</v>
      </c>
      <c r="AN38" s="57"/>
      <c r="AO38" s="25">
        <v>14</v>
      </c>
      <c r="AP38" s="25">
        <v>12</v>
      </c>
      <c r="AW38" s="24" t="s">
        <v>80</v>
      </c>
      <c r="AZ38" s="24">
        <v>3</v>
      </c>
      <c r="BA38" s="24">
        <v>16</v>
      </c>
      <c r="BB38" s="24">
        <v>7</v>
      </c>
      <c r="BG38" s="25">
        <f t="shared" si="20"/>
        <v>26</v>
      </c>
      <c r="BH38" s="39">
        <f t="shared" si="21"/>
        <v>0.51538461538461533</v>
      </c>
      <c r="BJ38" s="40">
        <v>7262665</v>
      </c>
      <c r="BK38" s="40">
        <f>VLOOKUP(M38,[1]EconBenMult!$B$12:$D$14,2,TRUE)*(BJ38/1000000)</f>
        <v>87.369859949999991</v>
      </c>
      <c r="BL38" s="31">
        <f>VLOOKUP(M38,[1]EconBenMult!$B$12:$D$14,3,TRUE)*(BJ38/1000000)</f>
        <v>5078264.8958852496</v>
      </c>
    </row>
    <row r="39" spans="1:64" ht="15" customHeight="1" x14ac:dyDescent="0.2">
      <c r="A39" s="34">
        <v>44522</v>
      </c>
      <c r="B39" s="24">
        <v>2021</v>
      </c>
      <c r="C39" s="24" t="s">
        <v>181</v>
      </c>
      <c r="D39" s="25" t="s">
        <v>279</v>
      </c>
      <c r="E39" s="25" t="s">
        <v>280</v>
      </c>
      <c r="F39" s="25" t="s">
        <v>93</v>
      </c>
      <c r="G39" s="26">
        <v>59715</v>
      </c>
      <c r="H39" s="27">
        <v>45.692160000000001</v>
      </c>
      <c r="I39" s="27">
        <v>-111.07161000000001</v>
      </c>
      <c r="J39" s="25" t="s">
        <v>94</v>
      </c>
      <c r="K39" s="28">
        <v>0.04</v>
      </c>
      <c r="L39" s="24" t="s">
        <v>147</v>
      </c>
      <c r="M39" s="25" t="s">
        <v>61</v>
      </c>
      <c r="N39" s="24" t="s">
        <v>62</v>
      </c>
      <c r="O39" s="29">
        <v>72</v>
      </c>
      <c r="P39" s="24">
        <v>13</v>
      </c>
      <c r="Q39" s="31">
        <v>5751770</v>
      </c>
      <c r="R39" s="31">
        <v>5088885</v>
      </c>
      <c r="S39" s="31">
        <v>13525000</v>
      </c>
      <c r="T39" s="31">
        <v>10525000</v>
      </c>
      <c r="U39" s="32">
        <v>4.1200000000000001E-2</v>
      </c>
      <c r="V39" s="33">
        <v>40</v>
      </c>
      <c r="Y39" s="34">
        <f t="shared" si="15"/>
        <v>0</v>
      </c>
      <c r="Z39" s="35">
        <f t="shared" si="16"/>
        <v>5114</v>
      </c>
      <c r="AA39" s="36">
        <v>31</v>
      </c>
      <c r="AB39" s="35">
        <f t="shared" si="17"/>
        <v>16437</v>
      </c>
      <c r="AC39" s="25" t="s">
        <v>127</v>
      </c>
      <c r="AD39" s="25" t="s">
        <v>281</v>
      </c>
      <c r="AE39" s="25" t="s">
        <v>129</v>
      </c>
      <c r="AF39" s="25" t="s">
        <v>130</v>
      </c>
      <c r="AG39" s="25" t="s">
        <v>131</v>
      </c>
      <c r="AH39" s="25">
        <v>98004</v>
      </c>
      <c r="AI39" s="80" t="s">
        <v>282</v>
      </c>
      <c r="AJ39" s="41">
        <v>4254587369</v>
      </c>
      <c r="AK39" s="42">
        <v>834</v>
      </c>
      <c r="AL39" s="23">
        <f t="shared" si="19"/>
        <v>72</v>
      </c>
      <c r="AP39" s="25">
        <v>56</v>
      </c>
      <c r="AQ39" s="25">
        <v>16</v>
      </c>
      <c r="AW39" s="24" t="s">
        <v>80</v>
      </c>
      <c r="BB39" s="24">
        <v>72</v>
      </c>
      <c r="BG39" s="25">
        <f t="shared" si="20"/>
        <v>72</v>
      </c>
      <c r="BH39" s="39">
        <f t="shared" si="21"/>
        <v>0.6</v>
      </c>
      <c r="BJ39" s="40">
        <v>18023105</v>
      </c>
      <c r="BK39" s="40">
        <f>VLOOKUP(M39,[1]EconBenMult!$B$12:$D$14,2,TRUE)*(BJ39/1000000)</f>
        <v>139.85929480000001</v>
      </c>
      <c r="BL39" s="31">
        <f>VLOOKUP(M39,[1]EconBenMult!$B$12:$D$14,3,TRUE)*(BJ39/1000000)</f>
        <v>7717998.9288641997</v>
      </c>
    </row>
    <row r="40" spans="1:64" ht="25.5" x14ac:dyDescent="0.2">
      <c r="A40" s="22">
        <v>44378</v>
      </c>
      <c r="B40" s="23">
        <v>2021</v>
      </c>
      <c r="C40" s="24" t="s">
        <v>181</v>
      </c>
      <c r="D40" s="44" t="s">
        <v>283</v>
      </c>
      <c r="E40" s="25" t="s">
        <v>284</v>
      </c>
      <c r="F40" s="44" t="s">
        <v>72</v>
      </c>
      <c r="G40" s="26">
        <v>59840</v>
      </c>
      <c r="H40" s="27">
        <v>46.256549999999997</v>
      </c>
      <c r="I40" s="27">
        <v>-114.14425</v>
      </c>
      <c r="J40" s="44" t="s">
        <v>73</v>
      </c>
      <c r="K40" s="45">
        <v>0.04</v>
      </c>
      <c r="L40" s="46" t="s">
        <v>60</v>
      </c>
      <c r="M40" s="25" t="s">
        <v>61</v>
      </c>
      <c r="N40" s="47" t="s">
        <v>62</v>
      </c>
      <c r="O40" s="29">
        <v>36</v>
      </c>
      <c r="P40" s="23">
        <v>8</v>
      </c>
      <c r="Q40" s="30">
        <v>2326327</v>
      </c>
      <c r="R40" s="79">
        <v>1965549.5</v>
      </c>
      <c r="S40" s="30">
        <v>3713195</v>
      </c>
      <c r="T40" s="30">
        <v>2596154</v>
      </c>
      <c r="U40" s="32">
        <v>0.04</v>
      </c>
      <c r="V40" s="33">
        <v>40</v>
      </c>
      <c r="W40" s="22"/>
      <c r="X40" s="22"/>
      <c r="Y40" s="34">
        <f t="shared" si="15"/>
        <v>0</v>
      </c>
      <c r="Z40" s="35">
        <f t="shared" si="16"/>
        <v>5114</v>
      </c>
      <c r="AA40" s="56">
        <v>31</v>
      </c>
      <c r="AB40" s="35">
        <f t="shared" si="17"/>
        <v>16437</v>
      </c>
      <c r="AC40" s="25" t="s">
        <v>285</v>
      </c>
      <c r="AD40" s="25" t="s">
        <v>286</v>
      </c>
      <c r="AE40" s="25" t="s">
        <v>287</v>
      </c>
      <c r="AF40" s="25" t="s">
        <v>108</v>
      </c>
      <c r="AG40" s="25" t="s">
        <v>67</v>
      </c>
      <c r="AH40" s="25">
        <v>59802</v>
      </c>
      <c r="AI40" s="80" t="s">
        <v>288</v>
      </c>
      <c r="AJ40" s="41">
        <v>4069604870</v>
      </c>
      <c r="AK40" s="38">
        <v>3</v>
      </c>
      <c r="AL40" s="23">
        <f t="shared" si="19"/>
        <v>36</v>
      </c>
      <c r="AN40" s="57"/>
      <c r="AP40" s="25">
        <v>24</v>
      </c>
      <c r="AQ40" s="25">
        <v>12</v>
      </c>
      <c r="AW40" s="24" t="s">
        <v>80</v>
      </c>
      <c r="BA40" s="24">
        <v>22</v>
      </c>
      <c r="BB40" s="24">
        <v>14</v>
      </c>
      <c r="BG40" s="25">
        <f t="shared" si="20"/>
        <v>36</v>
      </c>
      <c r="BH40" s="39">
        <f t="shared" si="21"/>
        <v>0.53888888888888886</v>
      </c>
      <c r="BJ40" s="40">
        <v>6588552</v>
      </c>
      <c r="BK40" s="40">
        <f>VLOOKUP(M40,[1]EconBenMult!$B$12:$D$14,2,TRUE)*(BJ40/1000000)</f>
        <v>51.127163519999996</v>
      </c>
      <c r="BL40" s="31">
        <f>VLOOKUP(M40,[1]EconBenMult!$B$12:$D$14,3,TRUE)*(BJ40/1000000)</f>
        <v>2821402.7093980797</v>
      </c>
    </row>
    <row r="41" spans="1:64" ht="25.5" x14ac:dyDescent="0.2">
      <c r="A41" s="22">
        <v>44378</v>
      </c>
      <c r="B41" s="23">
        <v>2021</v>
      </c>
      <c r="C41" s="24" t="s">
        <v>181</v>
      </c>
      <c r="D41" s="44" t="s">
        <v>289</v>
      </c>
      <c r="E41" s="25" t="s">
        <v>290</v>
      </c>
      <c r="F41" s="44" t="s">
        <v>291</v>
      </c>
      <c r="G41" s="26">
        <v>59829</v>
      </c>
      <c r="H41" s="27">
        <v>46.024560000000001</v>
      </c>
      <c r="I41" s="27">
        <v>-114.18437</v>
      </c>
      <c r="J41" s="44" t="s">
        <v>73</v>
      </c>
      <c r="K41" s="45">
        <v>0.04</v>
      </c>
      <c r="L41" s="46" t="s">
        <v>60</v>
      </c>
      <c r="M41" s="25" t="s">
        <v>61</v>
      </c>
      <c r="N41" s="47" t="s">
        <v>62</v>
      </c>
      <c r="O41" s="29">
        <v>16</v>
      </c>
      <c r="P41" s="23">
        <v>4</v>
      </c>
      <c r="Q41" s="30">
        <v>1033923</v>
      </c>
      <c r="R41" s="79">
        <v>873577.5</v>
      </c>
      <c r="S41" s="30">
        <v>1650309</v>
      </c>
      <c r="T41" s="30">
        <v>1153846</v>
      </c>
      <c r="U41" s="32">
        <v>0.04</v>
      </c>
      <c r="V41" s="33">
        <v>40</v>
      </c>
      <c r="W41" s="22"/>
      <c r="X41" s="22"/>
      <c r="Y41" s="34">
        <f t="shared" si="15"/>
        <v>0</v>
      </c>
      <c r="Z41" s="35">
        <f t="shared" si="16"/>
        <v>5114</v>
      </c>
      <c r="AA41" s="56">
        <v>31</v>
      </c>
      <c r="AB41" s="35">
        <f t="shared" si="17"/>
        <v>16437</v>
      </c>
      <c r="AC41" s="25" t="s">
        <v>285</v>
      </c>
      <c r="AD41" s="25" t="s">
        <v>286</v>
      </c>
      <c r="AE41" s="25" t="s">
        <v>287</v>
      </c>
      <c r="AF41" s="25" t="s">
        <v>108</v>
      </c>
      <c r="AG41" s="25" t="s">
        <v>67</v>
      </c>
      <c r="AH41" s="25">
        <v>59802</v>
      </c>
      <c r="AI41" s="80" t="s">
        <v>288</v>
      </c>
      <c r="AJ41" s="25">
        <v>4069604870</v>
      </c>
      <c r="AK41" s="38">
        <v>3</v>
      </c>
      <c r="AL41" s="23">
        <f t="shared" si="19"/>
        <v>16</v>
      </c>
      <c r="AN41" s="57"/>
      <c r="AP41" s="25">
        <v>16</v>
      </c>
      <c r="AW41" s="24" t="s">
        <v>80</v>
      </c>
      <c r="BB41" s="24">
        <v>16</v>
      </c>
      <c r="BG41" s="25">
        <f t="shared" si="20"/>
        <v>16</v>
      </c>
      <c r="BH41" s="39">
        <f t="shared" si="21"/>
        <v>0.6</v>
      </c>
      <c r="BJ41" s="40">
        <v>2928245</v>
      </c>
      <c r="BK41" s="40">
        <f>VLOOKUP(M41,[1]EconBenMult!$B$12:$D$14,2,TRUE)*(BJ41/1000000)</f>
        <v>22.723181199999999</v>
      </c>
      <c r="BL41" s="31">
        <f>VLOOKUP(M41,[1]EconBenMult!$B$12:$D$14,3,TRUE)*(BJ41/1000000)</f>
        <v>1253956.6169898</v>
      </c>
    </row>
    <row r="42" spans="1:64" ht="15" customHeight="1" x14ac:dyDescent="0.2">
      <c r="A42" s="22">
        <v>44375</v>
      </c>
      <c r="B42" s="23">
        <v>2021</v>
      </c>
      <c r="C42" s="24" t="s">
        <v>181</v>
      </c>
      <c r="D42" s="44" t="s">
        <v>292</v>
      </c>
      <c r="E42" s="25" t="s">
        <v>293</v>
      </c>
      <c r="F42" s="44" t="s">
        <v>108</v>
      </c>
      <c r="G42" s="26" t="s">
        <v>294</v>
      </c>
      <c r="H42" s="27">
        <v>46.885144031325503</v>
      </c>
      <c r="I42" s="27">
        <v>-114.01455018832399</v>
      </c>
      <c r="J42" s="44" t="s">
        <v>108</v>
      </c>
      <c r="K42" s="45">
        <v>0.04</v>
      </c>
      <c r="L42" s="46" t="s">
        <v>239</v>
      </c>
      <c r="M42" s="25" t="s">
        <v>95</v>
      </c>
      <c r="N42" s="47" t="s">
        <v>62</v>
      </c>
      <c r="O42" s="29">
        <v>202</v>
      </c>
      <c r="P42" s="23">
        <v>5</v>
      </c>
      <c r="Q42" s="30">
        <v>24425730</v>
      </c>
      <c r="R42" s="79">
        <v>21738924</v>
      </c>
      <c r="S42" s="30">
        <v>36000000</v>
      </c>
      <c r="T42" s="30">
        <v>20775000</v>
      </c>
      <c r="U42" s="32">
        <v>3.5400000000000001E-2</v>
      </c>
      <c r="V42" s="33">
        <v>35</v>
      </c>
      <c r="W42" s="22"/>
      <c r="X42" s="22"/>
      <c r="Y42" s="34">
        <f t="shared" si="15"/>
        <v>0</v>
      </c>
      <c r="Z42" s="35">
        <f t="shared" si="16"/>
        <v>5114</v>
      </c>
      <c r="AA42" s="56">
        <v>31</v>
      </c>
      <c r="AB42" s="35">
        <f t="shared" si="17"/>
        <v>16437</v>
      </c>
      <c r="AC42" s="25" t="s">
        <v>295</v>
      </c>
      <c r="AD42" s="25" t="s">
        <v>296</v>
      </c>
      <c r="AE42" s="25" t="s">
        <v>297</v>
      </c>
      <c r="AF42" s="25" t="s">
        <v>108</v>
      </c>
      <c r="AG42" s="25" t="s">
        <v>67</v>
      </c>
      <c r="AH42" s="25">
        <v>59808</v>
      </c>
      <c r="AI42" s="80" t="s">
        <v>298</v>
      </c>
      <c r="AJ42" s="25">
        <v>4062148145</v>
      </c>
      <c r="AK42" s="38">
        <v>1168</v>
      </c>
      <c r="AL42" s="23">
        <f t="shared" si="19"/>
        <v>202</v>
      </c>
      <c r="AN42" s="57"/>
      <c r="AO42" s="25">
        <v>100</v>
      </c>
      <c r="AP42" s="25">
        <v>60</v>
      </c>
      <c r="AQ42" s="25">
        <v>23</v>
      </c>
      <c r="AR42" s="25">
        <v>6</v>
      </c>
      <c r="AT42" s="25">
        <v>12</v>
      </c>
      <c r="AV42" s="25">
        <v>1</v>
      </c>
      <c r="AW42" s="24" t="s">
        <v>228</v>
      </c>
      <c r="AY42" s="24">
        <v>30</v>
      </c>
      <c r="BA42" s="24">
        <v>11</v>
      </c>
      <c r="BB42" s="24">
        <v>130</v>
      </c>
      <c r="BC42" s="24">
        <v>30</v>
      </c>
      <c r="BF42" s="24">
        <v>1</v>
      </c>
      <c r="BG42" s="25">
        <f t="shared" si="20"/>
        <v>202</v>
      </c>
      <c r="BH42" s="39">
        <f t="shared" si="21"/>
        <v>0.56467661691542292</v>
      </c>
      <c r="BJ42" s="40">
        <v>55181446</v>
      </c>
      <c r="BK42" s="40">
        <f>VLOOKUP(M42,[1]EconBenMult!$B$12:$D$14,2,TRUE)*(BJ42/1000000)</f>
        <v>663.83279537999999</v>
      </c>
      <c r="BL42" s="31">
        <f>VLOOKUP(M42,[1]EconBenMult!$B$12:$D$14,3,TRUE)*(BJ42/1000000)</f>
        <v>38584459.027917102</v>
      </c>
    </row>
    <row r="43" spans="1:64" ht="15" customHeight="1" x14ac:dyDescent="0.2">
      <c r="A43" s="22">
        <v>44317</v>
      </c>
      <c r="B43" s="23">
        <v>2021</v>
      </c>
      <c r="C43" s="24" t="s">
        <v>181</v>
      </c>
      <c r="D43" s="44" t="s">
        <v>299</v>
      </c>
      <c r="E43" s="25" t="s">
        <v>300</v>
      </c>
      <c r="F43" s="44" t="s">
        <v>108</v>
      </c>
      <c r="G43" s="26">
        <v>59802</v>
      </c>
      <c r="H43" s="27">
        <v>46.891664616781704</v>
      </c>
      <c r="I43" s="27">
        <v>-114.006818857643</v>
      </c>
      <c r="J43" s="44" t="s">
        <v>108</v>
      </c>
      <c r="K43" s="45">
        <v>0.04</v>
      </c>
      <c r="L43" s="46" t="s">
        <v>239</v>
      </c>
      <c r="M43" s="25" t="s">
        <v>95</v>
      </c>
      <c r="N43" s="47" t="s">
        <v>62</v>
      </c>
      <c r="O43" s="29">
        <v>200</v>
      </c>
      <c r="P43" s="23">
        <v>2</v>
      </c>
      <c r="Q43" s="30">
        <v>29254570</v>
      </c>
      <c r="R43" s="79">
        <v>24863898</v>
      </c>
      <c r="S43" s="30">
        <v>43000000</v>
      </c>
      <c r="T43" s="30">
        <v>25175000</v>
      </c>
      <c r="U43" s="32">
        <v>3.5400000000000001E-2</v>
      </c>
      <c r="V43" s="33">
        <v>35</v>
      </c>
      <c r="W43" s="22"/>
      <c r="X43" s="22"/>
      <c r="Y43" s="34">
        <f t="shared" si="15"/>
        <v>0</v>
      </c>
      <c r="Z43" s="35">
        <f t="shared" si="16"/>
        <v>5114</v>
      </c>
      <c r="AA43" s="56">
        <v>31</v>
      </c>
      <c r="AB43" s="35">
        <f t="shared" si="17"/>
        <v>16437</v>
      </c>
      <c r="AC43" s="25" t="s">
        <v>301</v>
      </c>
      <c r="AD43" s="25" t="s">
        <v>302</v>
      </c>
      <c r="AE43" s="25" t="s">
        <v>303</v>
      </c>
      <c r="AF43" s="25" t="s">
        <v>108</v>
      </c>
      <c r="AG43" s="25" t="s">
        <v>67</v>
      </c>
      <c r="AH43" s="25">
        <v>59801</v>
      </c>
      <c r="AI43" s="80" t="s">
        <v>304</v>
      </c>
      <c r="AJ43" s="25">
        <v>4065494113</v>
      </c>
      <c r="AK43" s="38">
        <v>1351</v>
      </c>
      <c r="AL43" s="23">
        <f t="shared" si="19"/>
        <v>200</v>
      </c>
      <c r="AN43" s="57"/>
      <c r="AP43" s="25">
        <v>93</v>
      </c>
      <c r="AQ43" s="25">
        <v>100</v>
      </c>
      <c r="AR43" s="25">
        <v>6</v>
      </c>
      <c r="AV43" s="25">
        <v>1</v>
      </c>
      <c r="AW43" s="24" t="s">
        <v>80</v>
      </c>
      <c r="AY43" s="24">
        <v>18</v>
      </c>
      <c r="BA43" s="24">
        <v>14</v>
      </c>
      <c r="BB43" s="24">
        <v>167</v>
      </c>
      <c r="BF43" s="25">
        <v>1</v>
      </c>
      <c r="BG43" s="25">
        <f t="shared" si="20"/>
        <v>200</v>
      </c>
      <c r="BH43" s="39">
        <f t="shared" si="21"/>
        <v>0.56582914572864318</v>
      </c>
      <c r="BJ43" s="40">
        <v>61875619</v>
      </c>
      <c r="BK43" s="40">
        <f>VLOOKUP(M43,[1]EconBenMult!$B$12:$D$14,2,TRUE)*(BJ43/1000000)</f>
        <v>744.36369657</v>
      </c>
      <c r="BL43" s="31">
        <f>VLOOKUP(M43,[1]EconBenMult!$B$12:$D$14,3,TRUE)*(BJ43/1000000)</f>
        <v>43265217.916408151</v>
      </c>
    </row>
    <row r="44" spans="1:64" ht="15" customHeight="1" x14ac:dyDescent="0.2">
      <c r="A44" s="22">
        <v>44257</v>
      </c>
      <c r="B44" s="23">
        <v>2021</v>
      </c>
      <c r="C44" s="24" t="s">
        <v>181</v>
      </c>
      <c r="D44" s="44" t="s">
        <v>305</v>
      </c>
      <c r="E44" s="25" t="s">
        <v>306</v>
      </c>
      <c r="F44" s="44" t="s">
        <v>93</v>
      </c>
      <c r="G44" s="26">
        <v>59715</v>
      </c>
      <c r="H44" s="27">
        <v>45.678226866439601</v>
      </c>
      <c r="I44" s="27">
        <v>-111.03745104417899</v>
      </c>
      <c r="J44" s="44" t="s">
        <v>94</v>
      </c>
      <c r="K44" s="45">
        <v>0.04</v>
      </c>
      <c r="L44" s="46" t="s">
        <v>239</v>
      </c>
      <c r="M44" s="25" t="s">
        <v>61</v>
      </c>
      <c r="N44" s="47" t="s">
        <v>62</v>
      </c>
      <c r="O44" s="29">
        <v>41</v>
      </c>
      <c r="P44" s="23">
        <v>1</v>
      </c>
      <c r="Q44" s="30">
        <v>4837810</v>
      </c>
      <c r="R44" s="79">
        <v>4918069</v>
      </c>
      <c r="S44" s="30">
        <v>7000000</v>
      </c>
      <c r="T44" s="30">
        <v>4165000</v>
      </c>
      <c r="W44" s="22">
        <v>44855</v>
      </c>
      <c r="X44" s="22">
        <v>44866</v>
      </c>
      <c r="Y44" s="34">
        <f t="shared" si="15"/>
        <v>44866</v>
      </c>
      <c r="Z44" s="35">
        <f t="shared" si="16"/>
        <v>49980</v>
      </c>
      <c r="AA44" s="56">
        <v>40</v>
      </c>
      <c r="AB44" s="35">
        <f t="shared" si="17"/>
        <v>64590</v>
      </c>
      <c r="AC44" s="25" t="s">
        <v>308</v>
      </c>
      <c r="AD44" s="25" t="s">
        <v>309</v>
      </c>
      <c r="AE44" s="25" t="s">
        <v>310</v>
      </c>
      <c r="AF44" s="25" t="s">
        <v>93</v>
      </c>
      <c r="AG44" s="25" t="s">
        <v>67</v>
      </c>
      <c r="AH44" s="25">
        <v>59715</v>
      </c>
      <c r="AI44" s="80" t="s">
        <v>311</v>
      </c>
      <c r="AJ44" s="25">
        <v>4064146500</v>
      </c>
      <c r="AK44" s="38">
        <v>1761</v>
      </c>
      <c r="AL44" s="23">
        <f t="shared" si="19"/>
        <v>41</v>
      </c>
      <c r="AN44" s="57">
        <v>2</v>
      </c>
      <c r="AO44" s="25">
        <v>33</v>
      </c>
      <c r="AP44" s="25">
        <v>6</v>
      </c>
      <c r="AW44" s="24" t="s">
        <v>80</v>
      </c>
      <c r="BB44" s="24">
        <v>41</v>
      </c>
      <c r="BG44" s="25">
        <f t="shared" si="20"/>
        <v>41</v>
      </c>
      <c r="BH44" s="39">
        <f t="shared" si="21"/>
        <v>0.6</v>
      </c>
      <c r="BJ44" s="40">
        <v>11478894</v>
      </c>
      <c r="BK44" s="40">
        <f>VLOOKUP(M44,[1]EconBenMult!$B$12:$D$14,2,TRUE)*(BJ44/1000000)</f>
        <v>89.076217439999994</v>
      </c>
      <c r="BL44" s="31">
        <f>VLOOKUP(M44,[1]EconBenMult!$B$12:$D$14,3,TRUE)*(BJ44/1000000)</f>
        <v>4915584.2789877597</v>
      </c>
    </row>
    <row r="45" spans="1:64" ht="15" customHeight="1" x14ac:dyDescent="0.2">
      <c r="A45" s="22">
        <v>44257</v>
      </c>
      <c r="B45" s="23">
        <v>2021</v>
      </c>
      <c r="C45" s="24" t="s">
        <v>181</v>
      </c>
      <c r="D45" s="44" t="s">
        <v>312</v>
      </c>
      <c r="E45" s="25" t="s">
        <v>313</v>
      </c>
      <c r="F45" s="44" t="s">
        <v>93</v>
      </c>
      <c r="G45" s="26">
        <v>59047</v>
      </c>
      <c r="H45" s="27">
        <v>45.686318559786599</v>
      </c>
      <c r="I45" s="27">
        <v>-111.043527488354</v>
      </c>
      <c r="J45" s="44" t="s">
        <v>94</v>
      </c>
      <c r="K45" s="45">
        <v>0.04</v>
      </c>
      <c r="L45" s="46" t="s">
        <v>239</v>
      </c>
      <c r="M45" s="25" t="s">
        <v>61</v>
      </c>
      <c r="N45" s="47" t="s">
        <v>75</v>
      </c>
      <c r="O45" s="29">
        <v>100</v>
      </c>
      <c r="P45" s="23">
        <v>1</v>
      </c>
      <c r="Q45" s="30">
        <v>8165290</v>
      </c>
      <c r="R45" s="79">
        <v>4579251</v>
      </c>
      <c r="S45" s="30">
        <v>16137567</v>
      </c>
      <c r="T45" s="30">
        <v>12930000</v>
      </c>
      <c r="W45" s="22">
        <v>44838</v>
      </c>
      <c r="X45" s="22">
        <v>44866</v>
      </c>
      <c r="Y45" s="34">
        <f t="shared" si="15"/>
        <v>44866</v>
      </c>
      <c r="Z45" s="35">
        <f t="shared" si="16"/>
        <v>49980</v>
      </c>
      <c r="AA45" s="56">
        <v>40</v>
      </c>
      <c r="AB45" s="35">
        <f t="shared" si="17"/>
        <v>64590</v>
      </c>
      <c r="AC45" s="25" t="s">
        <v>308</v>
      </c>
      <c r="AD45" s="25" t="s">
        <v>309</v>
      </c>
      <c r="AE45" s="25" t="s">
        <v>310</v>
      </c>
      <c r="AF45" s="25" t="s">
        <v>93</v>
      </c>
      <c r="AG45" s="25" t="s">
        <v>67</v>
      </c>
      <c r="AH45" s="25">
        <v>59715</v>
      </c>
      <c r="AI45" s="80" t="s">
        <v>311</v>
      </c>
      <c r="AJ45" s="25">
        <v>4064146500</v>
      </c>
      <c r="AK45" s="38">
        <v>72</v>
      </c>
      <c r="AL45" s="23">
        <f t="shared" si="19"/>
        <v>100</v>
      </c>
      <c r="AN45" s="57">
        <f>27+5</f>
        <v>32</v>
      </c>
      <c r="AO45" s="25">
        <f>61+7</f>
        <v>68</v>
      </c>
      <c r="AW45" s="24" t="s">
        <v>80</v>
      </c>
      <c r="BB45" s="24">
        <v>100</v>
      </c>
      <c r="BG45" s="25">
        <f t="shared" si="20"/>
        <v>100</v>
      </c>
      <c r="BH45" s="39">
        <f t="shared" si="21"/>
        <v>0.6</v>
      </c>
      <c r="BJ45" s="40">
        <v>19979566</v>
      </c>
      <c r="BK45" s="40">
        <f>VLOOKUP(M45,[1]EconBenMult!$B$12:$D$14,2,TRUE)*(BJ45/1000000)</f>
        <v>155.04143215999997</v>
      </c>
      <c r="BL45" s="31">
        <f>VLOOKUP(M45,[1]EconBenMult!$B$12:$D$14,3,TRUE)*(BJ45/1000000)</f>
        <v>8555810.3882306386</v>
      </c>
    </row>
    <row r="46" spans="1:64" ht="15" customHeight="1" x14ac:dyDescent="0.2">
      <c r="A46" s="22">
        <v>44257</v>
      </c>
      <c r="B46" s="23">
        <v>2021</v>
      </c>
      <c r="C46" s="24" t="s">
        <v>181</v>
      </c>
      <c r="D46" s="44" t="s">
        <v>314</v>
      </c>
      <c r="E46" s="25" t="s">
        <v>315</v>
      </c>
      <c r="F46" s="44" t="s">
        <v>316</v>
      </c>
      <c r="G46" s="26">
        <v>59047</v>
      </c>
      <c r="H46" s="27">
        <v>45.660622643914799</v>
      </c>
      <c r="I46" s="27">
        <v>-110.560580973014</v>
      </c>
      <c r="J46" s="44" t="s">
        <v>317</v>
      </c>
      <c r="K46" s="45">
        <v>0.04</v>
      </c>
      <c r="L46" s="46" t="s">
        <v>239</v>
      </c>
      <c r="M46" s="25" t="s">
        <v>61</v>
      </c>
      <c r="N46" s="47" t="s">
        <v>75</v>
      </c>
      <c r="O46" s="29">
        <v>40</v>
      </c>
      <c r="P46" s="23">
        <v>1</v>
      </c>
      <c r="Q46" s="30">
        <v>3488140</v>
      </c>
      <c r="R46" s="79">
        <v>3209477</v>
      </c>
      <c r="S46" s="30">
        <v>6455026</v>
      </c>
      <c r="T46" s="30">
        <v>2920000</v>
      </c>
      <c r="W46" s="22">
        <v>44715</v>
      </c>
      <c r="X46" s="22">
        <v>44743</v>
      </c>
      <c r="Y46" s="34">
        <f t="shared" si="15"/>
        <v>44743</v>
      </c>
      <c r="Z46" s="35">
        <f t="shared" si="16"/>
        <v>49857</v>
      </c>
      <c r="AA46" s="56">
        <v>40</v>
      </c>
      <c r="AB46" s="35">
        <f t="shared" si="17"/>
        <v>64467</v>
      </c>
      <c r="AC46" s="25" t="s">
        <v>308</v>
      </c>
      <c r="AD46" s="25" t="s">
        <v>309</v>
      </c>
      <c r="AE46" s="25" t="s">
        <v>310</v>
      </c>
      <c r="AF46" s="25" t="s">
        <v>93</v>
      </c>
      <c r="AG46" s="25" t="s">
        <v>67</v>
      </c>
      <c r="AH46" s="25">
        <v>59715</v>
      </c>
      <c r="AI46" s="80" t="s">
        <v>311</v>
      </c>
      <c r="AJ46" s="25">
        <v>4064146500</v>
      </c>
      <c r="AK46" s="38">
        <v>12</v>
      </c>
      <c r="AL46" s="23">
        <f t="shared" si="19"/>
        <v>40</v>
      </c>
      <c r="AN46" s="57">
        <v>5</v>
      </c>
      <c r="AO46" s="25">
        <v>34</v>
      </c>
      <c r="AP46" s="25">
        <v>1</v>
      </c>
      <c r="AW46" s="24" t="s">
        <v>80</v>
      </c>
      <c r="BB46" s="24">
        <v>40</v>
      </c>
      <c r="BG46" s="25">
        <f t="shared" si="20"/>
        <v>40</v>
      </c>
      <c r="BH46" s="39">
        <f t="shared" si="21"/>
        <v>0.6</v>
      </c>
      <c r="BJ46" s="40">
        <v>8535299</v>
      </c>
      <c r="BK46" s="40">
        <f>VLOOKUP(M46,[1]EconBenMult!$B$12:$D$14,2,TRUE)*(BJ46/1000000)</f>
        <v>66.233920240000003</v>
      </c>
      <c r="BL46" s="31">
        <f>VLOOKUP(M46,[1]EconBenMult!$B$12:$D$14,3,TRUE)*(BJ46/1000000)</f>
        <v>3655054.3615839598</v>
      </c>
    </row>
    <row r="47" spans="1:64" ht="15" customHeight="1" x14ac:dyDescent="0.2">
      <c r="A47" s="22">
        <v>44257</v>
      </c>
      <c r="B47" s="23">
        <v>2021</v>
      </c>
      <c r="C47" s="24" t="s">
        <v>181</v>
      </c>
      <c r="D47" s="44" t="s">
        <v>318</v>
      </c>
      <c r="E47" s="25" t="s">
        <v>319</v>
      </c>
      <c r="F47" s="44" t="s">
        <v>316</v>
      </c>
      <c r="G47" s="26">
        <v>59047</v>
      </c>
      <c r="H47" s="27">
        <v>45.659043343559503</v>
      </c>
      <c r="I47" s="27">
        <v>-110.556579915344</v>
      </c>
      <c r="J47" s="44" t="s">
        <v>317</v>
      </c>
      <c r="K47" s="45">
        <v>0.04</v>
      </c>
      <c r="L47" s="46" t="s">
        <v>239</v>
      </c>
      <c r="M47" s="25" t="s">
        <v>61</v>
      </c>
      <c r="N47" s="47" t="s">
        <v>75</v>
      </c>
      <c r="O47" s="29">
        <v>49</v>
      </c>
      <c r="P47" s="23">
        <v>1</v>
      </c>
      <c r="Q47" s="30">
        <v>3828730</v>
      </c>
      <c r="R47" s="79">
        <v>3955611</v>
      </c>
      <c r="S47" s="30">
        <v>7907407</v>
      </c>
      <c r="T47" s="30">
        <v>4080000</v>
      </c>
      <c r="W47" s="22">
        <v>44812</v>
      </c>
      <c r="X47" s="22">
        <v>44835</v>
      </c>
      <c r="Y47" s="34">
        <f t="shared" si="15"/>
        <v>44835</v>
      </c>
      <c r="Z47" s="35">
        <f t="shared" si="16"/>
        <v>49949</v>
      </c>
      <c r="AA47" s="56">
        <v>40</v>
      </c>
      <c r="AB47" s="35">
        <f t="shared" si="17"/>
        <v>64559</v>
      </c>
      <c r="AC47" s="25" t="s">
        <v>308</v>
      </c>
      <c r="AD47" s="25" t="s">
        <v>309</v>
      </c>
      <c r="AE47" s="25" t="s">
        <v>310</v>
      </c>
      <c r="AF47" s="25" t="s">
        <v>93</v>
      </c>
      <c r="AG47" s="25" t="s">
        <v>67</v>
      </c>
      <c r="AH47" s="25">
        <v>59715</v>
      </c>
      <c r="AI47" s="80" t="s">
        <v>311</v>
      </c>
      <c r="AJ47" s="25">
        <v>4064146500</v>
      </c>
      <c r="AK47" s="38">
        <v>12</v>
      </c>
      <c r="AL47" s="23">
        <f t="shared" si="19"/>
        <v>49</v>
      </c>
      <c r="AN47" s="57"/>
      <c r="AO47" s="25">
        <v>40</v>
      </c>
      <c r="AP47" s="25">
        <v>9</v>
      </c>
      <c r="AW47" s="24" t="s">
        <v>80</v>
      </c>
      <c r="BB47" s="24">
        <v>49</v>
      </c>
      <c r="BG47" s="25">
        <f t="shared" si="20"/>
        <v>49</v>
      </c>
      <c r="BH47" s="39">
        <f t="shared" si="21"/>
        <v>0.6</v>
      </c>
      <c r="BJ47" s="40">
        <v>9295941</v>
      </c>
      <c r="BK47" s="40">
        <f>VLOOKUP(M47,[1]EconBenMult!$B$12:$D$14,2,TRUE)*(BJ47/1000000)</f>
        <v>72.136502159999992</v>
      </c>
      <c r="BL47" s="31">
        <f>VLOOKUP(M47,[1]EconBenMult!$B$12:$D$14,3,TRUE)*(BJ47/1000000)</f>
        <v>3980782.5943856393</v>
      </c>
    </row>
    <row r="48" spans="1:64" x14ac:dyDescent="0.2">
      <c r="A48" s="22">
        <v>44123</v>
      </c>
      <c r="B48" s="23">
        <v>2021</v>
      </c>
      <c r="C48" s="24" t="s">
        <v>181</v>
      </c>
      <c r="D48" s="44" t="s">
        <v>320</v>
      </c>
      <c r="E48" s="25" t="s">
        <v>236</v>
      </c>
      <c r="F48" s="44" t="s">
        <v>237</v>
      </c>
      <c r="G48" s="26">
        <v>59457</v>
      </c>
      <c r="H48" s="27">
        <v>47.065069999999999</v>
      </c>
      <c r="I48" s="27">
        <v>-109.42624000000001</v>
      </c>
      <c r="J48" s="44" t="s">
        <v>238</v>
      </c>
      <c r="K48" s="45">
        <v>0.09</v>
      </c>
      <c r="L48" s="46" t="s">
        <v>239</v>
      </c>
      <c r="M48" s="25" t="s">
        <v>95</v>
      </c>
      <c r="N48" s="47" t="s">
        <v>62</v>
      </c>
      <c r="O48" s="29">
        <v>16</v>
      </c>
      <c r="P48" s="23">
        <v>1</v>
      </c>
      <c r="Q48" s="30">
        <v>3100000</v>
      </c>
      <c r="R48" s="79">
        <v>2510749</v>
      </c>
      <c r="S48" s="30"/>
      <c r="T48" s="30"/>
      <c r="W48" s="22"/>
      <c r="X48" s="22"/>
      <c r="Y48" s="34">
        <f t="shared" si="15"/>
        <v>0</v>
      </c>
      <c r="Z48" s="35">
        <f t="shared" si="16"/>
        <v>5114</v>
      </c>
      <c r="AA48" s="56">
        <v>31</v>
      </c>
      <c r="AB48" s="35">
        <f t="shared" si="17"/>
        <v>16437</v>
      </c>
      <c r="AC48" s="25" t="s">
        <v>240</v>
      </c>
      <c r="AD48" s="25" t="s">
        <v>241</v>
      </c>
      <c r="AE48" s="25" t="s">
        <v>297</v>
      </c>
      <c r="AF48" s="25" t="s">
        <v>108</v>
      </c>
      <c r="AG48" s="25" t="s">
        <v>67</v>
      </c>
      <c r="AH48" s="25">
        <v>59808</v>
      </c>
      <c r="AI48" s="80" t="s">
        <v>206</v>
      </c>
      <c r="AJ48" s="25">
        <v>4065324663</v>
      </c>
      <c r="AK48" s="38">
        <v>101</v>
      </c>
      <c r="AL48" s="23">
        <f t="shared" si="19"/>
        <v>16</v>
      </c>
      <c r="AN48" s="57">
        <v>4</v>
      </c>
      <c r="AO48" s="25">
        <v>10</v>
      </c>
      <c r="AP48" s="25">
        <v>2</v>
      </c>
      <c r="AW48" s="24" t="s">
        <v>80</v>
      </c>
      <c r="AZ48" s="24">
        <v>3</v>
      </c>
      <c r="BA48" s="24">
        <v>10</v>
      </c>
      <c r="BB48" s="24">
        <v>3</v>
      </c>
      <c r="BG48" s="25">
        <f t="shared" si="20"/>
        <v>16</v>
      </c>
      <c r="BH48" s="39">
        <f t="shared" si="21"/>
        <v>0.5</v>
      </c>
      <c r="BJ48" s="40">
        <v>4390450</v>
      </c>
      <c r="BK48" s="40">
        <f>VLOOKUP(M48,[1]EconBenMult!$B$12:$D$14,2,TRUE)*(BJ48/1000000)</f>
        <v>52.817113500000005</v>
      </c>
      <c r="BL48" s="31">
        <f>VLOOKUP(M48,[1]EconBenMult!$B$12:$D$14,3,TRUE)*(BJ48/1000000)</f>
        <v>3069929.3044825001</v>
      </c>
    </row>
    <row r="49" spans="1:64" ht="15" customHeight="1" x14ac:dyDescent="0.2">
      <c r="A49" s="22">
        <v>44123</v>
      </c>
      <c r="B49" s="23">
        <v>2021</v>
      </c>
      <c r="C49" s="24" t="s">
        <v>181</v>
      </c>
      <c r="D49" s="44" t="s">
        <v>321</v>
      </c>
      <c r="E49" s="25" t="s">
        <v>322</v>
      </c>
      <c r="F49" s="44" t="s">
        <v>113</v>
      </c>
      <c r="G49" s="26">
        <v>59101</v>
      </c>
      <c r="H49" s="27">
        <v>45.762560000000001</v>
      </c>
      <c r="I49" s="27">
        <v>-108.51561</v>
      </c>
      <c r="J49" s="44" t="s">
        <v>114</v>
      </c>
      <c r="K49" s="45">
        <v>0.09</v>
      </c>
      <c r="L49" s="46" t="s">
        <v>60</v>
      </c>
      <c r="M49" s="25" t="s">
        <v>95</v>
      </c>
      <c r="N49" s="47" t="s">
        <v>62</v>
      </c>
      <c r="O49" s="29">
        <v>38</v>
      </c>
      <c r="P49" s="23">
        <v>5</v>
      </c>
      <c r="Q49" s="30">
        <v>6435000</v>
      </c>
      <c r="R49" s="79">
        <v>5340516</v>
      </c>
      <c r="S49" s="30"/>
      <c r="T49" s="33"/>
      <c r="W49" s="22"/>
      <c r="X49" s="22"/>
      <c r="Y49" s="34">
        <f t="shared" si="15"/>
        <v>0</v>
      </c>
      <c r="Z49" s="35">
        <f t="shared" si="16"/>
        <v>5114</v>
      </c>
      <c r="AA49" s="56">
        <v>31</v>
      </c>
      <c r="AB49" s="35">
        <f t="shared" si="17"/>
        <v>16437</v>
      </c>
      <c r="AC49" s="25" t="s">
        <v>115</v>
      </c>
      <c r="AD49" s="25" t="s">
        <v>323</v>
      </c>
      <c r="AE49" s="25" t="s">
        <v>227</v>
      </c>
      <c r="AF49" s="25" t="s">
        <v>103</v>
      </c>
      <c r="AG49" s="25" t="s">
        <v>67</v>
      </c>
      <c r="AH49" s="25">
        <v>59602</v>
      </c>
      <c r="AI49" s="80" t="s">
        <v>324</v>
      </c>
      <c r="AJ49" s="25">
        <v>4063903754</v>
      </c>
      <c r="AK49" s="38">
        <v>750</v>
      </c>
      <c r="AL49" s="23">
        <f t="shared" si="19"/>
        <v>38</v>
      </c>
      <c r="AO49" s="25">
        <v>20</v>
      </c>
      <c r="AP49" s="25">
        <v>12</v>
      </c>
      <c r="AQ49" s="25">
        <v>6</v>
      </c>
      <c r="AW49" s="24" t="s">
        <v>80</v>
      </c>
      <c r="BA49" s="24">
        <v>8</v>
      </c>
      <c r="BB49" s="24">
        <v>30</v>
      </c>
      <c r="BG49" s="25">
        <f t="shared" si="20"/>
        <v>38</v>
      </c>
      <c r="BH49" s="39">
        <f t="shared" si="21"/>
        <v>0.57894736842105265</v>
      </c>
      <c r="BJ49" s="40">
        <v>8794015</v>
      </c>
      <c r="BK49" s="40">
        <f>VLOOKUP(M49,[1]EconBenMult!$B$12:$D$14,2,TRUE)*(BJ49/1000000)</f>
        <v>105.79200044999999</v>
      </c>
      <c r="BL49" s="31">
        <f>VLOOKUP(M49,[1]EconBenMult!$B$12:$D$14,3,TRUE)*(BJ49/1000000)</f>
        <v>6149028.9953327496</v>
      </c>
    </row>
    <row r="50" spans="1:64" ht="15" customHeight="1" x14ac:dyDescent="0.2">
      <c r="A50" s="22">
        <v>44123</v>
      </c>
      <c r="B50" s="23">
        <v>2021</v>
      </c>
      <c r="C50" s="24" t="s">
        <v>181</v>
      </c>
      <c r="D50" s="44" t="s">
        <v>325</v>
      </c>
      <c r="E50" s="25" t="s">
        <v>326</v>
      </c>
      <c r="F50" s="44" t="s">
        <v>66</v>
      </c>
      <c r="G50" s="26">
        <v>59901</v>
      </c>
      <c r="H50" s="27">
        <v>48.202770000000001</v>
      </c>
      <c r="I50" s="27">
        <v>-114.33766</v>
      </c>
      <c r="J50" s="44" t="s">
        <v>59</v>
      </c>
      <c r="K50" s="45">
        <v>0.09</v>
      </c>
      <c r="L50" s="46" t="s">
        <v>60</v>
      </c>
      <c r="M50" s="25" t="s">
        <v>95</v>
      </c>
      <c r="N50" s="47" t="s">
        <v>75</v>
      </c>
      <c r="O50" s="29">
        <v>36</v>
      </c>
      <c r="P50" s="23">
        <v>1</v>
      </c>
      <c r="Q50" s="30">
        <v>6435000</v>
      </c>
      <c r="R50" s="79">
        <v>5565718</v>
      </c>
      <c r="S50" s="30"/>
      <c r="T50" s="30"/>
      <c r="W50" s="22"/>
      <c r="X50" s="22"/>
      <c r="Y50" s="34">
        <f t="shared" si="15"/>
        <v>0</v>
      </c>
      <c r="Z50" s="35">
        <f t="shared" si="16"/>
        <v>5114</v>
      </c>
      <c r="AA50" s="56">
        <v>31</v>
      </c>
      <c r="AB50" s="35">
        <f t="shared" si="17"/>
        <v>16437</v>
      </c>
      <c r="AC50" s="25" t="s">
        <v>195</v>
      </c>
      <c r="AE50" s="25" t="s">
        <v>123</v>
      </c>
      <c r="AF50" s="25" t="s">
        <v>108</v>
      </c>
      <c r="AG50" s="25" t="s">
        <v>67</v>
      </c>
      <c r="AH50" s="25">
        <v>59806</v>
      </c>
      <c r="AI50" s="80" t="s">
        <v>124</v>
      </c>
      <c r="AJ50" s="25">
        <v>4062031558</v>
      </c>
      <c r="AK50" s="38">
        <v>170</v>
      </c>
      <c r="AL50" s="23">
        <f t="shared" si="19"/>
        <v>35</v>
      </c>
      <c r="AN50" s="57"/>
      <c r="AO50" s="25">
        <v>23</v>
      </c>
      <c r="AP50" s="25">
        <v>12</v>
      </c>
      <c r="AW50" s="24" t="s">
        <v>80</v>
      </c>
      <c r="AZ50" s="24">
        <v>4</v>
      </c>
      <c r="BA50" s="24">
        <v>27</v>
      </c>
      <c r="BB50" s="24">
        <v>4</v>
      </c>
      <c r="BG50" s="25">
        <f t="shared" si="20"/>
        <v>35</v>
      </c>
      <c r="BH50" s="39">
        <f t="shared" si="21"/>
        <v>0.5</v>
      </c>
      <c r="BJ50" s="40">
        <v>7392628</v>
      </c>
      <c r="BK50" s="40">
        <f>VLOOKUP(M50,[1]EconBenMult!$B$12:$D$14,2,TRUE)*(BJ50/1000000)</f>
        <v>88.933314839999994</v>
      </c>
      <c r="BL50" s="31">
        <f>VLOOKUP(M50,[1]EconBenMult!$B$12:$D$14,3,TRUE)*(BJ50/1000000)</f>
        <v>5169138.7749178</v>
      </c>
    </row>
    <row r="51" spans="1:64" ht="15" customHeight="1" x14ac:dyDescent="0.2">
      <c r="A51" s="22">
        <v>44123</v>
      </c>
      <c r="B51" s="23">
        <v>2021</v>
      </c>
      <c r="C51" s="24" t="s">
        <v>181</v>
      </c>
      <c r="D51" s="44" t="s">
        <v>327</v>
      </c>
      <c r="E51" s="25" t="s">
        <v>328</v>
      </c>
      <c r="F51" s="44" t="s">
        <v>113</v>
      </c>
      <c r="G51" s="26">
        <v>59101</v>
      </c>
      <c r="H51" s="27">
        <v>45.77984</v>
      </c>
      <c r="I51" s="27">
        <v>-108.50484</v>
      </c>
      <c r="J51" s="44" t="s">
        <v>114</v>
      </c>
      <c r="K51" s="45">
        <v>0.09</v>
      </c>
      <c r="L51" s="46" t="s">
        <v>239</v>
      </c>
      <c r="M51" s="25" t="s">
        <v>329</v>
      </c>
      <c r="N51" s="47" t="s">
        <v>62</v>
      </c>
      <c r="O51" s="29">
        <v>29</v>
      </c>
      <c r="P51" s="23">
        <v>1</v>
      </c>
      <c r="Q51" s="30">
        <v>6435000</v>
      </c>
      <c r="R51" s="79">
        <v>5597890</v>
      </c>
      <c r="S51" s="30"/>
      <c r="T51" s="30"/>
      <c r="W51" s="22"/>
      <c r="X51" s="22"/>
      <c r="Y51" s="34">
        <f t="shared" si="15"/>
        <v>0</v>
      </c>
      <c r="Z51" s="35">
        <f t="shared" si="16"/>
        <v>5114</v>
      </c>
      <c r="AA51" s="56">
        <v>31</v>
      </c>
      <c r="AB51" s="35">
        <f t="shared" si="17"/>
        <v>16437</v>
      </c>
      <c r="AC51" s="25" t="s">
        <v>330</v>
      </c>
      <c r="AE51" s="25" t="s">
        <v>331</v>
      </c>
      <c r="AF51" s="25" t="s">
        <v>113</v>
      </c>
      <c r="AG51" s="25" t="s">
        <v>67</v>
      </c>
      <c r="AH51" s="25">
        <v>59103</v>
      </c>
      <c r="AI51" s="80" t="s">
        <v>332</v>
      </c>
      <c r="AJ51" s="25">
        <v>4062470140</v>
      </c>
      <c r="AK51" s="38">
        <v>1131</v>
      </c>
      <c r="AL51" s="23">
        <f t="shared" si="19"/>
        <v>30</v>
      </c>
      <c r="AN51" s="57">
        <v>6</v>
      </c>
      <c r="AO51" s="25">
        <v>18</v>
      </c>
      <c r="AP51" s="25">
        <v>5</v>
      </c>
      <c r="AV51" s="25">
        <v>1</v>
      </c>
      <c r="AW51" s="24" t="s">
        <v>80</v>
      </c>
      <c r="AZ51" s="24">
        <v>3</v>
      </c>
      <c r="BA51" s="24">
        <v>18</v>
      </c>
      <c r="BB51" s="24">
        <v>8</v>
      </c>
      <c r="BG51" s="25">
        <f t="shared" si="20"/>
        <v>29</v>
      </c>
      <c r="BH51" s="39">
        <f t="shared" si="21"/>
        <v>0.51724137931034486</v>
      </c>
      <c r="BJ51" s="40">
        <v>11925149</v>
      </c>
      <c r="BK51" s="40">
        <f>VLOOKUP(M51,[1]EconBenMult!$B$12:$D$14,2,TRUE)*(BJ51/1000000)</f>
        <v>92.539156239999997</v>
      </c>
      <c r="BL51" s="31">
        <f>VLOOKUP(M51,[1]EconBenMult!$B$12:$D$14,3,TRUE)*(BJ51/1000000)</f>
        <v>5106683.1829779595</v>
      </c>
    </row>
    <row r="52" spans="1:64" ht="15" customHeight="1" x14ac:dyDescent="0.2">
      <c r="A52" s="22">
        <v>44123</v>
      </c>
      <c r="B52" s="23">
        <v>2021</v>
      </c>
      <c r="C52" s="24" t="s">
        <v>181</v>
      </c>
      <c r="D52" s="44" t="s">
        <v>333</v>
      </c>
      <c r="E52" s="25" t="s">
        <v>185</v>
      </c>
      <c r="F52" s="44" t="s">
        <v>186</v>
      </c>
      <c r="G52" s="26">
        <v>59022</v>
      </c>
      <c r="H52" s="27">
        <v>45.609479999999998</v>
      </c>
      <c r="I52" s="27">
        <v>-107.47302000000001</v>
      </c>
      <c r="J52" s="44" t="s">
        <v>187</v>
      </c>
      <c r="K52" s="45">
        <v>0.09</v>
      </c>
      <c r="L52" s="46" t="s">
        <v>188</v>
      </c>
      <c r="M52" s="25" t="s">
        <v>61</v>
      </c>
      <c r="N52" s="47" t="s">
        <v>62</v>
      </c>
      <c r="O52" s="29">
        <v>43</v>
      </c>
      <c r="P52" s="23">
        <v>43</v>
      </c>
      <c r="Q52" s="30">
        <v>6435000</v>
      </c>
      <c r="R52" s="79">
        <v>5464953</v>
      </c>
      <c r="S52" s="30"/>
      <c r="T52" s="30"/>
      <c r="W52" s="22"/>
      <c r="X52" s="22"/>
      <c r="Y52" s="34">
        <f t="shared" si="15"/>
        <v>0</v>
      </c>
      <c r="Z52" s="35">
        <f t="shared" si="16"/>
        <v>5114</v>
      </c>
      <c r="AA52" s="56">
        <v>31</v>
      </c>
      <c r="AB52" s="35">
        <f t="shared" si="17"/>
        <v>16437</v>
      </c>
      <c r="AC52" s="25" t="s">
        <v>334</v>
      </c>
      <c r="AE52" s="25" t="s">
        <v>191</v>
      </c>
      <c r="AF52" s="25" t="s">
        <v>186</v>
      </c>
      <c r="AG52" s="25" t="s">
        <v>67</v>
      </c>
      <c r="AH52" s="25">
        <v>59022</v>
      </c>
      <c r="AI52" s="80" t="s">
        <v>192</v>
      </c>
      <c r="AJ52" s="25">
        <v>7202736697</v>
      </c>
      <c r="AK52" s="38">
        <v>120</v>
      </c>
      <c r="AL52" s="23">
        <f t="shared" si="19"/>
        <v>43</v>
      </c>
      <c r="AN52" s="57"/>
      <c r="AO52" s="25">
        <v>8</v>
      </c>
      <c r="AP52" s="25">
        <v>10</v>
      </c>
      <c r="AQ52" s="25">
        <v>12</v>
      </c>
      <c r="AR52" s="25">
        <v>13</v>
      </c>
      <c r="AW52" s="24" t="s">
        <v>80</v>
      </c>
      <c r="AY52" s="24">
        <v>3</v>
      </c>
      <c r="AZ52" s="24">
        <v>3</v>
      </c>
      <c r="BA52" s="24">
        <v>27</v>
      </c>
      <c r="BB52" s="24">
        <v>10</v>
      </c>
      <c r="BG52" s="25">
        <f t="shared" si="20"/>
        <v>43</v>
      </c>
      <c r="BH52" s="39">
        <f t="shared" si="21"/>
        <v>0.50232558139534889</v>
      </c>
      <c r="BJ52" s="40">
        <v>7767696.4500000002</v>
      </c>
      <c r="BK52" s="40">
        <f>VLOOKUP(M52,[1]EconBenMult!$B$12:$D$14,2,TRUE)*(BJ52/1000000)</f>
        <v>60.277324451999995</v>
      </c>
      <c r="BL52" s="31">
        <f>VLOOKUP(M52,[1]EconBenMult!$B$12:$D$14,3,TRUE)*(BJ52/1000000)</f>
        <v>3326345.426098458</v>
      </c>
    </row>
    <row r="53" spans="1:64" ht="15" customHeight="1" x14ac:dyDescent="0.2">
      <c r="A53" s="22">
        <v>44123</v>
      </c>
      <c r="B53" s="23">
        <v>2021</v>
      </c>
      <c r="C53" s="24" t="s">
        <v>181</v>
      </c>
      <c r="D53" s="44" t="s">
        <v>335</v>
      </c>
      <c r="E53" s="25" t="s">
        <v>336</v>
      </c>
      <c r="F53" s="44" t="s">
        <v>226</v>
      </c>
      <c r="G53" s="26">
        <v>59044</v>
      </c>
      <c r="H53" s="27">
        <v>45.670659999999998</v>
      </c>
      <c r="I53" s="27">
        <v>-108.78221000000001</v>
      </c>
      <c r="J53" s="44" t="s">
        <v>114</v>
      </c>
      <c r="K53" s="45">
        <v>0.09</v>
      </c>
      <c r="L53" s="46" t="s">
        <v>60</v>
      </c>
      <c r="M53" s="25" t="s">
        <v>95</v>
      </c>
      <c r="N53" s="47" t="s">
        <v>62</v>
      </c>
      <c r="O53" s="29">
        <v>19</v>
      </c>
      <c r="P53" s="23">
        <v>4</v>
      </c>
      <c r="Q53" s="30">
        <v>3812010</v>
      </c>
      <c r="R53" s="79">
        <v>3316117</v>
      </c>
      <c r="S53" s="30"/>
      <c r="T53" s="30"/>
      <c r="W53" s="22"/>
      <c r="X53" s="22"/>
      <c r="Y53" s="34">
        <f t="shared" si="15"/>
        <v>0</v>
      </c>
      <c r="Z53" s="35">
        <f t="shared" si="16"/>
        <v>5114</v>
      </c>
      <c r="AA53" s="56">
        <v>31</v>
      </c>
      <c r="AB53" s="35">
        <f t="shared" si="17"/>
        <v>16437</v>
      </c>
      <c r="AC53" s="25" t="s">
        <v>115</v>
      </c>
      <c r="AD53" s="25" t="s">
        <v>337</v>
      </c>
      <c r="AE53" s="25" t="s">
        <v>227</v>
      </c>
      <c r="AF53" s="25" t="s">
        <v>103</v>
      </c>
      <c r="AG53" s="25" t="s">
        <v>67</v>
      </c>
      <c r="AH53" s="25">
        <v>59602</v>
      </c>
      <c r="AI53" s="80" t="s">
        <v>338</v>
      </c>
      <c r="AJ53" s="25">
        <v>4064595332</v>
      </c>
      <c r="AK53" s="38">
        <v>136</v>
      </c>
      <c r="AL53" s="23">
        <f t="shared" si="19"/>
        <v>19</v>
      </c>
      <c r="AN53" s="57"/>
      <c r="AO53" s="25">
        <v>5</v>
      </c>
      <c r="AP53" s="25">
        <v>9</v>
      </c>
      <c r="AQ53" s="25">
        <v>5</v>
      </c>
      <c r="AW53" s="24" t="s">
        <v>80</v>
      </c>
      <c r="BA53" s="24">
        <v>12</v>
      </c>
      <c r="BB53" s="24">
        <v>7</v>
      </c>
      <c r="BG53" s="25">
        <f t="shared" si="20"/>
        <v>19</v>
      </c>
      <c r="BH53" s="39">
        <f t="shared" si="21"/>
        <v>0.5368421052631579</v>
      </c>
      <c r="BJ53" s="40">
        <v>4527718</v>
      </c>
      <c r="BK53" s="40">
        <f>VLOOKUP(M53,[1]EconBenMult!$B$12:$D$14,2,TRUE)*(BJ53/1000000)</f>
        <v>54.46844754</v>
      </c>
      <c r="BL53" s="31">
        <f>VLOOKUP(M53,[1]EconBenMult!$B$12:$D$14,3,TRUE)*(BJ53/1000000)</f>
        <v>3165911.0502642998</v>
      </c>
    </row>
    <row r="54" spans="1:64" ht="15" customHeight="1" x14ac:dyDescent="0.2">
      <c r="A54" s="22">
        <v>44159</v>
      </c>
      <c r="B54" s="23">
        <v>2020</v>
      </c>
      <c r="C54" s="24" t="s">
        <v>181</v>
      </c>
      <c r="D54" s="44" t="s">
        <v>339</v>
      </c>
      <c r="E54" s="25" t="s">
        <v>340</v>
      </c>
      <c r="F54" s="44" t="s">
        <v>93</v>
      </c>
      <c r="G54" s="26">
        <v>59715</v>
      </c>
      <c r="H54" s="27">
        <v>45.696647599999999</v>
      </c>
      <c r="I54" s="27">
        <v>-111.0591596</v>
      </c>
      <c r="J54" s="44" t="s">
        <v>94</v>
      </c>
      <c r="K54" s="45">
        <v>0.04</v>
      </c>
      <c r="L54" s="46" t="s">
        <v>239</v>
      </c>
      <c r="M54" s="25" t="s">
        <v>95</v>
      </c>
      <c r="N54" s="47" t="s">
        <v>62</v>
      </c>
      <c r="O54" s="29">
        <v>136</v>
      </c>
      <c r="P54" s="23">
        <v>9</v>
      </c>
      <c r="Q54" s="30">
        <v>14977720</v>
      </c>
      <c r="R54" s="79">
        <v>13403718</v>
      </c>
      <c r="S54" s="30">
        <v>26000000</v>
      </c>
      <c r="T54" s="30">
        <v>20567881</v>
      </c>
      <c r="U54" s="32">
        <v>3.6499999999999998E-2</v>
      </c>
      <c r="V54" s="33">
        <v>35</v>
      </c>
      <c r="W54" s="22">
        <v>44519</v>
      </c>
      <c r="X54" s="22">
        <v>44562</v>
      </c>
      <c r="Y54" s="34">
        <f t="shared" si="15"/>
        <v>44562</v>
      </c>
      <c r="Z54" s="35">
        <f t="shared" si="16"/>
        <v>49675</v>
      </c>
      <c r="AA54" s="56">
        <v>31</v>
      </c>
      <c r="AB54" s="35">
        <f t="shared" si="17"/>
        <v>60998</v>
      </c>
      <c r="AC54" s="25" t="s">
        <v>341</v>
      </c>
      <c r="AD54" s="25" t="s">
        <v>342</v>
      </c>
      <c r="AE54" s="25" t="s">
        <v>343</v>
      </c>
      <c r="AF54" s="25" t="s">
        <v>256</v>
      </c>
      <c r="AG54" s="25" t="s">
        <v>131</v>
      </c>
      <c r="AH54" s="25">
        <v>98101</v>
      </c>
      <c r="AI54" s="37" t="s">
        <v>344</v>
      </c>
      <c r="AJ54" s="25">
        <v>2067456464</v>
      </c>
      <c r="AK54" s="38">
        <v>965</v>
      </c>
      <c r="AL54" s="23">
        <f t="shared" si="19"/>
        <v>136</v>
      </c>
      <c r="AN54" s="57"/>
      <c r="AO54" s="25">
        <v>60</v>
      </c>
      <c r="AP54" s="25">
        <v>36</v>
      </c>
      <c r="AQ54" s="25">
        <f>24+15</f>
        <v>39</v>
      </c>
      <c r="AV54" s="25">
        <v>1</v>
      </c>
      <c r="AW54" s="24" t="s">
        <v>80</v>
      </c>
      <c r="BB54" s="24">
        <v>135</v>
      </c>
      <c r="BF54" s="25">
        <v>1</v>
      </c>
      <c r="BG54" s="25">
        <f t="shared" si="20"/>
        <v>136</v>
      </c>
      <c r="BH54" s="39">
        <f t="shared" si="21"/>
        <v>0.6</v>
      </c>
      <c r="BJ54" s="40">
        <v>41444674</v>
      </c>
      <c r="BK54" s="40">
        <f>VLOOKUP(M54,[1]EconBenMult!$B$12:$D$14,2,TRUE)*(BJ54/1000000)</f>
        <v>498.57942821999995</v>
      </c>
      <c r="BL54" s="31">
        <f>VLOOKUP(M54,[1]EconBenMult!$B$12:$D$14,3,TRUE)*(BJ54/1000000)</f>
        <v>28979311.7396449</v>
      </c>
    </row>
    <row r="55" spans="1:64" ht="15" customHeight="1" x14ac:dyDescent="0.2">
      <c r="A55" s="22">
        <v>44159</v>
      </c>
      <c r="B55" s="23">
        <v>2020</v>
      </c>
      <c r="C55" s="24" t="s">
        <v>181</v>
      </c>
      <c r="D55" s="44" t="s">
        <v>345</v>
      </c>
      <c r="E55" s="25" t="s">
        <v>346</v>
      </c>
      <c r="F55" s="44" t="s">
        <v>93</v>
      </c>
      <c r="G55" s="26">
        <v>59715</v>
      </c>
      <c r="H55" s="27">
        <v>45.696647599999999</v>
      </c>
      <c r="I55" s="27">
        <v>-111.0591596</v>
      </c>
      <c r="J55" s="44" t="s">
        <v>94</v>
      </c>
      <c r="K55" s="45">
        <v>0.04</v>
      </c>
      <c r="L55" s="46" t="s">
        <v>239</v>
      </c>
      <c r="M55" s="25" t="s">
        <v>95</v>
      </c>
      <c r="N55" s="47" t="s">
        <v>347</v>
      </c>
      <c r="O55" s="29">
        <v>96</v>
      </c>
      <c r="P55" s="23">
        <v>1</v>
      </c>
      <c r="Q55" s="30">
        <v>10049430</v>
      </c>
      <c r="R55" s="79">
        <v>8842616</v>
      </c>
      <c r="S55" s="30">
        <v>19000000</v>
      </c>
      <c r="T55" s="30">
        <v>12808779</v>
      </c>
      <c r="U55" s="32">
        <v>3.5000000000000003E-2</v>
      </c>
      <c r="V55" s="33">
        <v>35</v>
      </c>
      <c r="W55" s="22">
        <v>44608</v>
      </c>
      <c r="X55" s="22">
        <v>44621</v>
      </c>
      <c r="Y55" s="34">
        <f t="shared" si="15"/>
        <v>44621</v>
      </c>
      <c r="Z55" s="35">
        <f t="shared" si="16"/>
        <v>49735</v>
      </c>
      <c r="AA55" s="56">
        <v>31</v>
      </c>
      <c r="AB55" s="35">
        <f t="shared" si="17"/>
        <v>61057</v>
      </c>
      <c r="AC55" s="25" t="s">
        <v>341</v>
      </c>
      <c r="AD55" s="25" t="s">
        <v>342</v>
      </c>
      <c r="AE55" s="25" t="s">
        <v>343</v>
      </c>
      <c r="AF55" s="25" t="s">
        <v>256</v>
      </c>
      <c r="AG55" s="25" t="s">
        <v>131</v>
      </c>
      <c r="AH55" s="25">
        <v>98101</v>
      </c>
      <c r="AI55" s="37" t="s">
        <v>344</v>
      </c>
      <c r="AJ55" s="25">
        <v>2067456464</v>
      </c>
      <c r="AK55" s="38">
        <v>965</v>
      </c>
      <c r="AL55" s="23">
        <f t="shared" si="19"/>
        <v>96</v>
      </c>
      <c r="AN55" s="57"/>
      <c r="AO55" s="25">
        <v>85</v>
      </c>
      <c r="AP55" s="25">
        <v>10</v>
      </c>
      <c r="AV55" s="25">
        <v>1</v>
      </c>
      <c r="AW55" s="24" t="s">
        <v>80</v>
      </c>
      <c r="BB55" s="24">
        <v>95</v>
      </c>
      <c r="BF55" s="25">
        <v>1</v>
      </c>
      <c r="BG55" s="25">
        <f t="shared" si="20"/>
        <v>96</v>
      </c>
      <c r="BH55" s="39">
        <f t="shared" si="21"/>
        <v>0.6</v>
      </c>
      <c r="BJ55" s="40">
        <v>28774961</v>
      </c>
      <c r="BK55" s="40">
        <f>VLOOKUP(M55,[1]EconBenMult!$B$12:$D$14,2,TRUE)*(BJ55/1000000)</f>
        <v>346.16278082999997</v>
      </c>
      <c r="BL55" s="31">
        <f>VLOOKUP(M55,[1]EconBenMult!$B$12:$D$14,3,TRUE)*(BJ55/1000000)</f>
        <v>20120282.88882485</v>
      </c>
    </row>
    <row r="56" spans="1:64" ht="15" customHeight="1" x14ac:dyDescent="0.2">
      <c r="A56" s="22">
        <v>43891</v>
      </c>
      <c r="B56" s="23">
        <v>2020</v>
      </c>
      <c r="C56" s="24" t="s">
        <v>181</v>
      </c>
      <c r="D56" s="44" t="s">
        <v>348</v>
      </c>
      <c r="E56" s="25" t="s">
        <v>349</v>
      </c>
      <c r="F56" s="44" t="s">
        <v>350</v>
      </c>
      <c r="G56" s="26">
        <v>59828</v>
      </c>
      <c r="H56" s="27">
        <v>46.312133099999997</v>
      </c>
      <c r="I56" s="27">
        <v>-114.1188034</v>
      </c>
      <c r="J56" s="44" t="s">
        <v>73</v>
      </c>
      <c r="K56" s="45">
        <v>0.04</v>
      </c>
      <c r="L56" s="46" t="s">
        <v>60</v>
      </c>
      <c r="M56" s="25" t="s">
        <v>61</v>
      </c>
      <c r="N56" s="47" t="s">
        <v>62</v>
      </c>
      <c r="O56" s="29">
        <v>36</v>
      </c>
      <c r="P56" s="23">
        <v>6</v>
      </c>
      <c r="Q56" s="30">
        <v>1185620</v>
      </c>
      <c r="R56" s="79">
        <v>1085749</v>
      </c>
      <c r="S56" s="30">
        <v>3600000</v>
      </c>
      <c r="T56" s="30"/>
      <c r="W56" s="22"/>
      <c r="X56" s="22"/>
      <c r="Y56" s="34">
        <f t="shared" si="15"/>
        <v>0</v>
      </c>
      <c r="Z56" s="35">
        <f t="shared" si="16"/>
        <v>5114</v>
      </c>
      <c r="AA56" s="56">
        <v>31</v>
      </c>
      <c r="AB56" s="35">
        <f t="shared" si="17"/>
        <v>16437</v>
      </c>
      <c r="AC56" s="25" t="s">
        <v>351</v>
      </c>
      <c r="AD56" s="25" t="s">
        <v>352</v>
      </c>
      <c r="AE56" s="25" t="s">
        <v>353</v>
      </c>
      <c r="AF56" s="25" t="s">
        <v>215</v>
      </c>
      <c r="AG56" s="25" t="s">
        <v>216</v>
      </c>
      <c r="AH56" s="25">
        <v>83702</v>
      </c>
      <c r="AI56" s="37" t="s">
        <v>354</v>
      </c>
      <c r="AJ56" s="25">
        <v>2083438877</v>
      </c>
      <c r="AK56" s="38">
        <v>71</v>
      </c>
      <c r="AL56" s="23">
        <f t="shared" si="19"/>
        <v>36</v>
      </c>
      <c r="AN56" s="57"/>
      <c r="AP56" s="25">
        <v>20</v>
      </c>
      <c r="AQ56" s="25">
        <v>16</v>
      </c>
      <c r="AW56" s="24" t="s">
        <v>80</v>
      </c>
      <c r="BA56" s="24">
        <v>23</v>
      </c>
      <c r="BB56" s="24">
        <v>12</v>
      </c>
      <c r="BG56" s="25">
        <f t="shared" si="20"/>
        <v>35</v>
      </c>
      <c r="BH56" s="39">
        <f t="shared" si="21"/>
        <v>0.53428571428571425</v>
      </c>
      <c r="BJ56" s="40">
        <v>4324186</v>
      </c>
      <c r="BK56" s="40">
        <f>VLOOKUP(M56,[1]EconBenMult!$B$12:$D$14,2,TRUE)*(BJ56/1000000)</f>
        <v>33.555683360000003</v>
      </c>
      <c r="BL56" s="31">
        <f>VLOOKUP(M56,[1]EconBenMult!$B$12:$D$14,3,TRUE)*(BJ56/1000000)</f>
        <v>1851737.6953754399</v>
      </c>
    </row>
    <row r="57" spans="1:64" ht="15" customHeight="1" x14ac:dyDescent="0.2">
      <c r="A57" s="22">
        <v>44035</v>
      </c>
      <c r="B57" s="23">
        <v>2020</v>
      </c>
      <c r="C57" s="24" t="s">
        <v>181</v>
      </c>
      <c r="D57" s="44" t="s">
        <v>355</v>
      </c>
      <c r="E57" s="25" t="s">
        <v>356</v>
      </c>
      <c r="F57" s="44" t="s">
        <v>113</v>
      </c>
      <c r="G57" s="26">
        <v>59101</v>
      </c>
      <c r="H57" s="27">
        <v>45.766390199999996</v>
      </c>
      <c r="I57" s="27">
        <v>-108.5485034</v>
      </c>
      <c r="J57" s="44" t="s">
        <v>114</v>
      </c>
      <c r="K57" s="45">
        <v>0.04</v>
      </c>
      <c r="L57" s="46" t="s">
        <v>60</v>
      </c>
      <c r="M57" s="25" t="s">
        <v>61</v>
      </c>
      <c r="N57" s="47" t="s">
        <v>62</v>
      </c>
      <c r="O57" s="29">
        <v>120</v>
      </c>
      <c r="P57" s="23">
        <v>16</v>
      </c>
      <c r="Q57" s="30">
        <v>8510040</v>
      </c>
      <c r="R57" s="79">
        <v>7829237</v>
      </c>
      <c r="S57" s="30">
        <v>20915000</v>
      </c>
      <c r="T57" s="30">
        <v>16550000</v>
      </c>
      <c r="U57" s="32">
        <v>4.0500000000000001E-2</v>
      </c>
      <c r="V57" s="33">
        <v>40</v>
      </c>
      <c r="W57" s="22">
        <v>43874</v>
      </c>
      <c r="X57" s="22"/>
      <c r="Y57" s="34">
        <f t="shared" si="15"/>
        <v>43874</v>
      </c>
      <c r="Z57" s="35">
        <f t="shared" si="16"/>
        <v>48988</v>
      </c>
      <c r="AA57" s="56">
        <v>31</v>
      </c>
      <c r="AB57" s="35">
        <f t="shared" si="17"/>
        <v>60311</v>
      </c>
      <c r="AC57" s="25" t="s">
        <v>357</v>
      </c>
      <c r="AD57" s="25" t="s">
        <v>358</v>
      </c>
      <c r="AE57" s="25" t="s">
        <v>359</v>
      </c>
      <c r="AF57" s="25" t="s">
        <v>360</v>
      </c>
      <c r="AG57" s="25" t="s">
        <v>361</v>
      </c>
      <c r="AH57" s="25">
        <v>20814</v>
      </c>
      <c r="AI57" s="37" t="s">
        <v>362</v>
      </c>
      <c r="AJ57" s="25">
        <v>6195434200</v>
      </c>
      <c r="AK57" s="38">
        <v>3853</v>
      </c>
      <c r="AL57" s="23">
        <f t="shared" si="19"/>
        <v>120</v>
      </c>
      <c r="AN57" s="57">
        <v>14</v>
      </c>
      <c r="AO57" s="25">
        <v>26</v>
      </c>
      <c r="AP57" s="25">
        <v>34</v>
      </c>
      <c r="AQ57" s="25">
        <v>46</v>
      </c>
      <c r="AW57" s="24" t="s">
        <v>80</v>
      </c>
      <c r="BG57" s="25">
        <f t="shared" si="20"/>
        <v>0</v>
      </c>
      <c r="BH57" s="39" t="e">
        <f t="shared" si="21"/>
        <v>#DIV/0!</v>
      </c>
      <c r="BJ57" s="40">
        <v>26041184</v>
      </c>
      <c r="BK57" s="40">
        <f>VLOOKUP(M57,[1]EconBenMult!$B$12:$D$14,2,TRUE)*(BJ57/1000000)</f>
        <v>202.07958784000002</v>
      </c>
      <c r="BL57" s="31">
        <f>VLOOKUP(M57,[1]EconBenMult!$B$12:$D$14,3,TRUE)*(BJ57/1000000)</f>
        <v>11151565.18359936</v>
      </c>
    </row>
    <row r="58" spans="1:64" ht="15" customHeight="1" x14ac:dyDescent="0.2">
      <c r="A58" s="22">
        <v>44035</v>
      </c>
      <c r="B58" s="23">
        <v>2020</v>
      </c>
      <c r="C58" s="24" t="s">
        <v>181</v>
      </c>
      <c r="D58" s="44" t="s">
        <v>363</v>
      </c>
      <c r="E58" s="25" t="s">
        <v>364</v>
      </c>
      <c r="F58" s="44" t="s">
        <v>210</v>
      </c>
      <c r="G58" s="26">
        <v>59701</v>
      </c>
      <c r="H58" s="27">
        <v>46.010779999999997</v>
      </c>
      <c r="I58" s="27">
        <v>-112.53077999999999</v>
      </c>
      <c r="J58" s="44" t="s">
        <v>211</v>
      </c>
      <c r="K58" s="45">
        <v>0.04</v>
      </c>
      <c r="L58" s="46" t="s">
        <v>239</v>
      </c>
      <c r="M58" s="25" t="s">
        <v>61</v>
      </c>
      <c r="N58" s="47" t="s">
        <v>62</v>
      </c>
      <c r="O58" s="29">
        <v>212</v>
      </c>
      <c r="P58" s="23">
        <v>18</v>
      </c>
      <c r="Q58" s="30">
        <v>15900110</v>
      </c>
      <c r="R58" s="79">
        <v>13871494</v>
      </c>
      <c r="S58" s="30">
        <v>29300000</v>
      </c>
      <c r="T58" s="30">
        <v>19950000</v>
      </c>
      <c r="U58" s="32">
        <v>4.2000000000000003E-2</v>
      </c>
      <c r="V58" s="33">
        <v>40</v>
      </c>
      <c r="W58" s="22">
        <v>44347</v>
      </c>
      <c r="X58" s="22">
        <v>44348</v>
      </c>
      <c r="Y58" s="34">
        <f t="shared" si="15"/>
        <v>44348</v>
      </c>
      <c r="Z58" s="35">
        <f t="shared" si="16"/>
        <v>49461</v>
      </c>
      <c r="AA58" s="56">
        <v>35</v>
      </c>
      <c r="AB58" s="35">
        <f t="shared" si="17"/>
        <v>62245</v>
      </c>
      <c r="AC58" s="25" t="s">
        <v>365</v>
      </c>
      <c r="AI58" s="37" t="s">
        <v>366</v>
      </c>
      <c r="AJ58" s="25">
        <v>4067826464</v>
      </c>
      <c r="AK58" s="38">
        <v>324</v>
      </c>
      <c r="AL58" s="23">
        <f t="shared" si="19"/>
        <v>212</v>
      </c>
      <c r="AN58" s="57"/>
      <c r="AO58" s="25">
        <v>89</v>
      </c>
      <c r="AP58" s="25">
        <v>88</v>
      </c>
      <c r="AQ58" s="25">
        <v>35</v>
      </c>
      <c r="AW58" s="24" t="s">
        <v>80</v>
      </c>
      <c r="BB58" s="24">
        <v>212</v>
      </c>
      <c r="BG58" s="25">
        <f t="shared" si="20"/>
        <v>212</v>
      </c>
      <c r="BH58" s="39">
        <f t="shared" si="21"/>
        <v>0.6</v>
      </c>
      <c r="BJ58" s="40">
        <v>47339448</v>
      </c>
      <c r="BK58" s="40">
        <f>VLOOKUP(M58,[1]EconBenMult!$B$12:$D$14,2,TRUE)*(BJ58/1000000)</f>
        <v>367.35411647999996</v>
      </c>
      <c r="BL58" s="31">
        <f>VLOOKUP(M58,[1]EconBenMult!$B$12:$D$14,3,TRUE)*(BJ58/1000000)</f>
        <v>20272079.031721916</v>
      </c>
    </row>
    <row r="59" spans="1:64" ht="15" customHeight="1" x14ac:dyDescent="0.2">
      <c r="A59" s="22">
        <v>44035</v>
      </c>
      <c r="B59" s="23">
        <v>2020</v>
      </c>
      <c r="C59" s="24" t="s">
        <v>181</v>
      </c>
      <c r="D59" s="44" t="s">
        <v>367</v>
      </c>
      <c r="E59" s="25" t="s">
        <v>368</v>
      </c>
      <c r="F59" s="44" t="s">
        <v>210</v>
      </c>
      <c r="G59" s="26">
        <v>59701</v>
      </c>
      <c r="H59" s="27">
        <v>46.013660000000002</v>
      </c>
      <c r="I59" s="27">
        <v>-112.53725</v>
      </c>
      <c r="J59" s="44" t="s">
        <v>211</v>
      </c>
      <c r="K59" s="45">
        <v>0.04</v>
      </c>
      <c r="L59" s="46" t="s">
        <v>239</v>
      </c>
      <c r="M59" s="25" t="s">
        <v>61</v>
      </c>
      <c r="N59" s="47" t="s">
        <v>62</v>
      </c>
      <c r="O59" s="29">
        <v>65</v>
      </c>
      <c r="P59" s="23">
        <v>1</v>
      </c>
      <c r="Q59" s="30">
        <v>3348700</v>
      </c>
      <c r="R59" s="79">
        <f>5850950*0.5</f>
        <v>2925475</v>
      </c>
      <c r="S59" s="30">
        <f>13200000*0.5</f>
        <v>6600000</v>
      </c>
      <c r="T59" s="30">
        <f>6535000*0.5</f>
        <v>3267500</v>
      </c>
      <c r="U59" s="32">
        <v>4.2999999999999997E-2</v>
      </c>
      <c r="V59" s="33">
        <v>40</v>
      </c>
      <c r="W59" s="22">
        <v>44265</v>
      </c>
      <c r="X59" s="22">
        <v>44287</v>
      </c>
      <c r="Y59" s="34">
        <f t="shared" si="15"/>
        <v>44287</v>
      </c>
      <c r="Z59" s="35">
        <f t="shared" si="16"/>
        <v>49400</v>
      </c>
      <c r="AA59" s="56">
        <v>31</v>
      </c>
      <c r="AB59" s="35">
        <f t="shared" si="17"/>
        <v>60723</v>
      </c>
      <c r="AC59" s="25" t="s">
        <v>365</v>
      </c>
      <c r="AI59" s="37" t="s">
        <v>366</v>
      </c>
      <c r="AJ59" s="25">
        <v>4067826464</v>
      </c>
      <c r="AK59" s="38">
        <v>324</v>
      </c>
      <c r="AL59" s="23">
        <f t="shared" si="19"/>
        <v>66</v>
      </c>
      <c r="AN59" s="57"/>
      <c r="AO59" s="25">
        <v>62</v>
      </c>
      <c r="AP59" s="25">
        <v>4</v>
      </c>
      <c r="AW59" s="24" t="s">
        <v>80</v>
      </c>
      <c r="BB59" s="24">
        <v>65</v>
      </c>
      <c r="BG59" s="25">
        <f t="shared" si="20"/>
        <v>65</v>
      </c>
      <c r="BH59" s="39">
        <f t="shared" si="21"/>
        <v>0.6</v>
      </c>
      <c r="BJ59" s="40">
        <v>14514453</v>
      </c>
      <c r="BK59" s="40">
        <f>VLOOKUP(M59,[1]EconBenMult!$B$12:$D$14,2,TRUE)*(BJ59/1000000)</f>
        <v>112.63215527999999</v>
      </c>
      <c r="BL59" s="31">
        <f>VLOOKUP(M59,[1]EconBenMult!$B$12:$D$14,3,TRUE)*(BJ59/1000000)</f>
        <v>6215495.7598621193</v>
      </c>
    </row>
    <row r="60" spans="1:64" ht="15" customHeight="1" x14ac:dyDescent="0.2">
      <c r="A60" s="22">
        <v>44035</v>
      </c>
      <c r="B60" s="23">
        <v>2020</v>
      </c>
      <c r="C60" s="24" t="s">
        <v>181</v>
      </c>
      <c r="D60" s="44" t="s">
        <v>369</v>
      </c>
      <c r="E60" s="25" t="s">
        <v>370</v>
      </c>
      <c r="F60" s="44" t="s">
        <v>210</v>
      </c>
      <c r="G60" s="26">
        <v>59701</v>
      </c>
      <c r="H60" s="27">
        <v>45.998860000000001</v>
      </c>
      <c r="I60" s="27">
        <v>-112.53507</v>
      </c>
      <c r="J60" s="44" t="s">
        <v>211</v>
      </c>
      <c r="K60" s="45">
        <v>0.04</v>
      </c>
      <c r="L60" s="46" t="s">
        <v>239</v>
      </c>
      <c r="M60" s="25" t="s">
        <v>61</v>
      </c>
      <c r="N60" s="47" t="s">
        <v>62</v>
      </c>
      <c r="O60" s="29">
        <v>30</v>
      </c>
      <c r="P60" s="23">
        <v>1</v>
      </c>
      <c r="Q60" s="30">
        <v>1757460</v>
      </c>
      <c r="R60" s="79">
        <f>5850950*0.23</f>
        <v>1345718.5</v>
      </c>
      <c r="S60" s="30">
        <f>13200000*0.23</f>
        <v>3036000</v>
      </c>
      <c r="T60" s="30">
        <f>6535000*0.23</f>
        <v>1503050</v>
      </c>
      <c r="U60" s="32">
        <v>4.2999999999999997E-2</v>
      </c>
      <c r="V60" s="33">
        <v>40</v>
      </c>
      <c r="W60" s="22">
        <v>44305</v>
      </c>
      <c r="X60" s="22">
        <v>44317</v>
      </c>
      <c r="Y60" s="34">
        <f t="shared" si="15"/>
        <v>44317</v>
      </c>
      <c r="Z60" s="35">
        <f t="shared" si="16"/>
        <v>49430</v>
      </c>
      <c r="AA60" s="56">
        <v>31</v>
      </c>
      <c r="AB60" s="35">
        <f t="shared" si="17"/>
        <v>60753</v>
      </c>
      <c r="AC60" s="25" t="s">
        <v>365</v>
      </c>
      <c r="AI60" s="37" t="s">
        <v>366</v>
      </c>
      <c r="AJ60" s="25">
        <v>4067826464</v>
      </c>
      <c r="AK60" s="38">
        <v>324</v>
      </c>
      <c r="AL60" s="23">
        <f t="shared" si="19"/>
        <v>30</v>
      </c>
      <c r="AN60" s="57"/>
      <c r="AO60" s="25">
        <v>25</v>
      </c>
      <c r="AP60" s="25">
        <v>5</v>
      </c>
      <c r="AW60" s="24" t="s">
        <v>80</v>
      </c>
      <c r="BB60" s="24">
        <v>30</v>
      </c>
      <c r="BG60" s="25">
        <f t="shared" si="20"/>
        <v>30</v>
      </c>
      <c r="BH60" s="39">
        <f t="shared" si="21"/>
        <v>0.6</v>
      </c>
      <c r="BJ60" s="40">
        <v>6698979</v>
      </c>
      <c r="BK60" s="40">
        <f>VLOOKUP(M60,[1]EconBenMult!$B$12:$D$14,2,TRUE)*(BJ60/1000000)</f>
        <v>51.984077039999995</v>
      </c>
      <c r="BL60" s="31">
        <f>VLOOKUP(M60,[1]EconBenMult!$B$12:$D$14,3,TRUE)*(BJ60/1000000)</f>
        <v>2868690.6471711597</v>
      </c>
    </row>
    <row r="61" spans="1:64" ht="15" customHeight="1" x14ac:dyDescent="0.2">
      <c r="A61" s="22">
        <v>44035</v>
      </c>
      <c r="B61" s="23">
        <v>2020</v>
      </c>
      <c r="C61" s="24" t="s">
        <v>181</v>
      </c>
      <c r="D61" s="44" t="s">
        <v>371</v>
      </c>
      <c r="E61" s="25" t="s">
        <v>372</v>
      </c>
      <c r="F61" s="44" t="s">
        <v>210</v>
      </c>
      <c r="G61" s="26">
        <v>59701</v>
      </c>
      <c r="H61" s="27">
        <v>46.001069999999999</v>
      </c>
      <c r="I61" s="27">
        <v>-112.51832</v>
      </c>
      <c r="J61" s="44" t="s">
        <v>211</v>
      </c>
      <c r="K61" s="45">
        <v>0.04</v>
      </c>
      <c r="L61" s="46" t="s">
        <v>239</v>
      </c>
      <c r="M61" s="25" t="s">
        <v>61</v>
      </c>
      <c r="N61" s="47" t="s">
        <v>62</v>
      </c>
      <c r="O61" s="29">
        <v>35</v>
      </c>
      <c r="P61" s="23">
        <v>15</v>
      </c>
      <c r="Q61" s="30">
        <v>1600480</v>
      </c>
      <c r="R61" s="79">
        <f>5850950*0.274</f>
        <v>1603160.3</v>
      </c>
      <c r="S61" s="30">
        <f>13200000*0.27</f>
        <v>3564000.0000000005</v>
      </c>
      <c r="T61" s="30">
        <f>6535000*0.27</f>
        <v>1764450</v>
      </c>
      <c r="U61" s="32">
        <v>4.2999999999999997E-2</v>
      </c>
      <c r="V61" s="33">
        <v>40</v>
      </c>
      <c r="W61" s="22">
        <v>44169</v>
      </c>
      <c r="X61" s="22">
        <v>44197</v>
      </c>
      <c r="Y61" s="34">
        <f t="shared" si="15"/>
        <v>44197</v>
      </c>
      <c r="Z61" s="35">
        <f t="shared" si="16"/>
        <v>49310</v>
      </c>
      <c r="AA61" s="56">
        <v>31</v>
      </c>
      <c r="AB61" s="35">
        <f t="shared" si="17"/>
        <v>60633</v>
      </c>
      <c r="AC61" s="25" t="s">
        <v>365</v>
      </c>
      <c r="AD61" s="25" t="s">
        <v>373</v>
      </c>
      <c r="AE61" s="25" t="s">
        <v>374</v>
      </c>
      <c r="AF61" s="25" t="s">
        <v>210</v>
      </c>
      <c r="AG61" s="25" t="s">
        <v>67</v>
      </c>
      <c r="AH61" s="25">
        <v>59701</v>
      </c>
      <c r="AI61" s="37" t="s">
        <v>366</v>
      </c>
      <c r="AJ61" s="25">
        <v>4067826464</v>
      </c>
      <c r="AK61" s="38">
        <v>324</v>
      </c>
      <c r="AL61" s="23">
        <f t="shared" si="19"/>
        <v>35</v>
      </c>
      <c r="AN61" s="57"/>
      <c r="AO61" s="25">
        <v>24</v>
      </c>
      <c r="AP61" s="25">
        <v>5</v>
      </c>
      <c r="AQ61" s="25">
        <v>6</v>
      </c>
      <c r="AW61" s="24" t="s">
        <v>80</v>
      </c>
      <c r="BB61" s="24">
        <v>35</v>
      </c>
      <c r="BG61" s="25">
        <f t="shared" si="20"/>
        <v>35</v>
      </c>
      <c r="BH61" s="39">
        <f t="shared" si="21"/>
        <v>0.6</v>
      </c>
      <c r="BJ61" s="40">
        <v>7815475</v>
      </c>
      <c r="BK61" s="40">
        <f>VLOOKUP(M61,[1]EconBenMult!$B$12:$D$14,2,TRUE)*(BJ61/1000000)</f>
        <v>60.648085999999999</v>
      </c>
      <c r="BL61" s="31">
        <f>VLOOKUP(M61,[1]EconBenMult!$B$12:$D$14,3,TRUE)*(BJ61/1000000)</f>
        <v>3346805.5409189998</v>
      </c>
    </row>
    <row r="62" spans="1:64" ht="15" customHeight="1" x14ac:dyDescent="0.2">
      <c r="A62" s="22">
        <v>43766</v>
      </c>
      <c r="B62" s="23">
        <v>2020</v>
      </c>
      <c r="C62" s="24" t="s">
        <v>181</v>
      </c>
      <c r="D62" s="44" t="s">
        <v>375</v>
      </c>
      <c r="E62" s="25" t="s">
        <v>376</v>
      </c>
      <c r="F62" s="44" t="s">
        <v>377</v>
      </c>
      <c r="G62" s="26">
        <v>59870</v>
      </c>
      <c r="H62" s="27">
        <v>47.168689999999998</v>
      </c>
      <c r="I62" s="27">
        <v>-111.8877</v>
      </c>
      <c r="J62" s="44" t="s">
        <v>73</v>
      </c>
      <c r="K62" s="45">
        <v>0.09</v>
      </c>
      <c r="L62" s="46" t="s">
        <v>239</v>
      </c>
      <c r="M62" s="81" t="s">
        <v>95</v>
      </c>
      <c r="N62" s="47" t="s">
        <v>62</v>
      </c>
      <c r="O62" s="29">
        <v>16</v>
      </c>
      <c r="P62" s="23">
        <v>5</v>
      </c>
      <c r="Q62" s="30">
        <v>3600000</v>
      </c>
      <c r="R62" s="79">
        <v>3113689</v>
      </c>
      <c r="S62" s="30"/>
      <c r="T62" s="30"/>
      <c r="V62" s="33">
        <v>0</v>
      </c>
      <c r="W62" s="22">
        <v>44354</v>
      </c>
      <c r="X62" s="22"/>
      <c r="Y62" s="34">
        <f t="shared" si="15"/>
        <v>44354</v>
      </c>
      <c r="Z62" s="35">
        <f t="shared" si="16"/>
        <v>49467</v>
      </c>
      <c r="AA62" s="56">
        <v>31</v>
      </c>
      <c r="AB62" s="35">
        <f t="shared" si="17"/>
        <v>60790</v>
      </c>
      <c r="AC62" s="25" t="s">
        <v>378</v>
      </c>
      <c r="AD62" s="25" t="s">
        <v>379</v>
      </c>
      <c r="AE62" s="25" t="s">
        <v>380</v>
      </c>
      <c r="AF62" s="25" t="s">
        <v>108</v>
      </c>
      <c r="AG62" s="25" t="s">
        <v>67</v>
      </c>
      <c r="AH62" s="25">
        <v>59801</v>
      </c>
      <c r="AI62" s="37" t="s">
        <v>381</v>
      </c>
      <c r="AJ62" s="25">
        <v>4067283710</v>
      </c>
      <c r="AK62" s="38">
        <v>69</v>
      </c>
      <c r="AL62" s="23">
        <f t="shared" si="19"/>
        <v>16</v>
      </c>
      <c r="AN62" s="57"/>
      <c r="AP62" s="25">
        <v>12</v>
      </c>
      <c r="AQ62" s="25">
        <v>4</v>
      </c>
      <c r="AW62" s="24" t="s">
        <v>80</v>
      </c>
      <c r="AZ62" s="24">
        <v>2</v>
      </c>
      <c r="BA62" s="24">
        <v>10</v>
      </c>
      <c r="BB62" s="24">
        <v>4</v>
      </c>
      <c r="BG62" s="25">
        <f t="shared" si="20"/>
        <v>16</v>
      </c>
      <c r="BH62" s="39">
        <f t="shared" si="21"/>
        <v>0.51249999999999996</v>
      </c>
      <c r="BJ62" s="40">
        <v>3832000</v>
      </c>
      <c r="BK62" s="40">
        <f>VLOOKUP(M62,[1]EconBenMult!$B$12:$D$14,2,TRUE)*(BJ62/1000000)</f>
        <v>46.098959999999998</v>
      </c>
      <c r="BL62" s="31">
        <f>VLOOKUP(M62,[1]EconBenMult!$B$12:$D$14,3,TRUE)*(BJ62/1000000)</f>
        <v>2679444.9531999999</v>
      </c>
    </row>
    <row r="63" spans="1:64" ht="15" customHeight="1" x14ac:dyDescent="0.2">
      <c r="A63" s="22">
        <v>43766</v>
      </c>
      <c r="B63" s="23">
        <v>2020</v>
      </c>
      <c r="C63" s="24" t="s">
        <v>181</v>
      </c>
      <c r="D63" s="44" t="s">
        <v>382</v>
      </c>
      <c r="E63" s="25" t="s">
        <v>383</v>
      </c>
      <c r="F63" s="44" t="s">
        <v>384</v>
      </c>
      <c r="G63" s="26">
        <v>59001</v>
      </c>
      <c r="J63" s="44" t="s">
        <v>385</v>
      </c>
      <c r="K63" s="45">
        <v>0.09</v>
      </c>
      <c r="L63" s="46" t="s">
        <v>239</v>
      </c>
      <c r="M63" s="25" t="s">
        <v>61</v>
      </c>
      <c r="N63" s="47" t="s">
        <v>75</v>
      </c>
      <c r="O63" s="29">
        <v>32</v>
      </c>
      <c r="P63" s="23">
        <v>1</v>
      </c>
      <c r="Q63" s="30">
        <v>3845340</v>
      </c>
      <c r="R63" s="79">
        <v>3306663</v>
      </c>
      <c r="S63" s="30"/>
      <c r="T63" s="30"/>
      <c r="W63" s="22"/>
      <c r="X63" s="22"/>
      <c r="Y63" s="34">
        <v>44225</v>
      </c>
      <c r="Z63" s="35">
        <f t="shared" si="16"/>
        <v>49338</v>
      </c>
      <c r="AA63" s="56">
        <v>31</v>
      </c>
      <c r="AB63" s="35">
        <f t="shared" si="17"/>
        <v>60661</v>
      </c>
      <c r="AC63" s="25" t="s">
        <v>386</v>
      </c>
      <c r="AD63" s="25" t="s">
        <v>387</v>
      </c>
      <c r="AE63" s="25" t="s">
        <v>388</v>
      </c>
      <c r="AF63" s="25" t="s">
        <v>215</v>
      </c>
      <c r="AG63" s="25" t="s">
        <v>216</v>
      </c>
      <c r="AH63" s="25">
        <v>83702</v>
      </c>
      <c r="AI63" s="37" t="s">
        <v>389</v>
      </c>
      <c r="AJ63" s="25">
        <v>2083877817</v>
      </c>
      <c r="AK63" s="38">
        <v>10</v>
      </c>
      <c r="AL63" s="23">
        <f t="shared" si="19"/>
        <v>32</v>
      </c>
      <c r="AN63" s="57"/>
      <c r="AO63" s="25">
        <v>28</v>
      </c>
      <c r="AP63" s="25">
        <v>4</v>
      </c>
      <c r="AW63" s="24" t="s">
        <v>80</v>
      </c>
      <c r="AZ63" s="24">
        <v>4</v>
      </c>
      <c r="BA63" s="24">
        <v>19</v>
      </c>
      <c r="BB63" s="24">
        <v>8</v>
      </c>
      <c r="BG63" s="25">
        <f t="shared" si="20"/>
        <v>31</v>
      </c>
      <c r="BH63" s="39">
        <f t="shared" si="21"/>
        <v>0.51290322580645153</v>
      </c>
      <c r="BJ63" s="40">
        <v>4285456</v>
      </c>
      <c r="BK63" s="40">
        <f>VLOOKUP(M63,[1]EconBenMult!$B$12:$D$14,2,TRUE)*(BJ63/1000000)</f>
        <v>33.255138559999999</v>
      </c>
      <c r="BL63" s="31">
        <f>VLOOKUP(M63,[1]EconBenMult!$B$12:$D$14,3,TRUE)*(BJ63/1000000)</f>
        <v>1835152.4233862399</v>
      </c>
    </row>
    <row r="64" spans="1:64" ht="15" customHeight="1" x14ac:dyDescent="0.2">
      <c r="A64" s="22">
        <v>43766</v>
      </c>
      <c r="B64" s="23">
        <v>2020</v>
      </c>
      <c r="C64" s="24" t="s">
        <v>181</v>
      </c>
      <c r="D64" s="44" t="s">
        <v>390</v>
      </c>
      <c r="E64" s="25" t="s">
        <v>391</v>
      </c>
      <c r="F64" s="44" t="s">
        <v>108</v>
      </c>
      <c r="G64" s="26">
        <v>59801</v>
      </c>
      <c r="J64" s="44" t="s">
        <v>108</v>
      </c>
      <c r="K64" s="45">
        <v>0.09</v>
      </c>
      <c r="L64" s="46" t="s">
        <v>60</v>
      </c>
      <c r="M64" s="25" t="s">
        <v>95</v>
      </c>
      <c r="N64" s="47" t="s">
        <v>75</v>
      </c>
      <c r="O64" s="29">
        <v>36</v>
      </c>
      <c r="P64" s="23">
        <v>1</v>
      </c>
      <c r="Q64" s="30">
        <v>5900000</v>
      </c>
      <c r="R64" s="79">
        <v>5102990</v>
      </c>
      <c r="S64" s="30"/>
      <c r="T64" s="30"/>
      <c r="W64" s="22"/>
      <c r="X64" s="22"/>
      <c r="Y64" s="34">
        <v>44558</v>
      </c>
      <c r="Z64" s="35">
        <f t="shared" si="16"/>
        <v>49671</v>
      </c>
      <c r="AA64" s="56">
        <v>31</v>
      </c>
      <c r="AB64" s="35">
        <f t="shared" si="17"/>
        <v>60994</v>
      </c>
      <c r="AC64" s="25" t="s">
        <v>195</v>
      </c>
      <c r="AD64" s="25" t="s">
        <v>122</v>
      </c>
      <c r="AE64" s="25" t="s">
        <v>123</v>
      </c>
      <c r="AF64" s="25" t="s">
        <v>108</v>
      </c>
      <c r="AG64" s="25" t="s">
        <v>67</v>
      </c>
      <c r="AH64" s="25">
        <v>59806</v>
      </c>
      <c r="AI64" s="37" t="s">
        <v>124</v>
      </c>
      <c r="AJ64" s="25">
        <v>4062031558</v>
      </c>
      <c r="AK64" s="38">
        <v>266</v>
      </c>
      <c r="AL64" s="23">
        <f t="shared" si="19"/>
        <v>36</v>
      </c>
      <c r="AN64" s="57"/>
      <c r="AO64" s="25">
        <v>23</v>
      </c>
      <c r="AP64" s="25">
        <v>12</v>
      </c>
      <c r="AV64" s="25">
        <v>1</v>
      </c>
      <c r="AW64" s="24" t="s">
        <v>80</v>
      </c>
      <c r="AZ64" s="24">
        <v>4</v>
      </c>
      <c r="BA64" s="24">
        <v>27</v>
      </c>
      <c r="BB64" s="24">
        <v>4</v>
      </c>
      <c r="BG64" s="25">
        <f t="shared" si="20"/>
        <v>35</v>
      </c>
      <c r="BH64" s="39">
        <f t="shared" si="21"/>
        <v>0.5</v>
      </c>
      <c r="BJ64" s="40">
        <v>6624254</v>
      </c>
      <c r="BK64" s="40">
        <f>VLOOKUP(M64,[1]EconBenMult!$B$12:$D$14,2,TRUE)*(BJ64/1000000)</f>
        <v>79.689775619999992</v>
      </c>
      <c r="BL64" s="31">
        <f>VLOOKUP(M64,[1]EconBenMult!$B$12:$D$14,3,TRUE)*(BJ64/1000000)</f>
        <v>4631869.5065278998</v>
      </c>
    </row>
    <row r="65" spans="1:68" ht="15" customHeight="1" x14ac:dyDescent="0.2">
      <c r="A65" s="22">
        <v>43766</v>
      </c>
      <c r="B65" s="23">
        <v>2020</v>
      </c>
      <c r="C65" s="24" t="s">
        <v>181</v>
      </c>
      <c r="D65" s="44" t="s">
        <v>392</v>
      </c>
      <c r="E65" s="25" t="s">
        <v>393</v>
      </c>
      <c r="F65" s="44" t="s">
        <v>262</v>
      </c>
      <c r="G65" s="26">
        <v>59725</v>
      </c>
      <c r="H65" s="27">
        <v>45.21743</v>
      </c>
      <c r="I65" s="27">
        <v>-112.62681000000001</v>
      </c>
      <c r="J65" s="44" t="s">
        <v>263</v>
      </c>
      <c r="K65" s="45">
        <v>0.09</v>
      </c>
      <c r="L65" s="46" t="s">
        <v>239</v>
      </c>
      <c r="M65" s="25" t="s">
        <v>95</v>
      </c>
      <c r="N65" s="47" t="s">
        <v>62</v>
      </c>
      <c r="O65" s="29">
        <v>28</v>
      </c>
      <c r="P65" s="23">
        <v>5</v>
      </c>
      <c r="Q65" s="30">
        <v>6203630</v>
      </c>
      <c r="R65" s="79">
        <v>5396626</v>
      </c>
      <c r="S65" s="30"/>
      <c r="T65" s="30"/>
      <c r="V65" s="33">
        <v>0</v>
      </c>
      <c r="W65" s="22">
        <v>44347</v>
      </c>
      <c r="X65" s="22"/>
      <c r="Y65" s="34">
        <f t="shared" si="15"/>
        <v>44347</v>
      </c>
      <c r="Z65" s="35">
        <f t="shared" si="16"/>
        <v>49460</v>
      </c>
      <c r="AA65" s="56">
        <v>31</v>
      </c>
      <c r="AB65" s="35">
        <f t="shared" si="17"/>
        <v>60783</v>
      </c>
      <c r="AC65" s="25" t="s">
        <v>394</v>
      </c>
      <c r="AD65" s="25" t="s">
        <v>395</v>
      </c>
      <c r="AE65" s="25" t="s">
        <v>396</v>
      </c>
      <c r="AF65" s="25" t="s">
        <v>215</v>
      </c>
      <c r="AG65" s="25" t="s">
        <v>216</v>
      </c>
      <c r="AH65" s="25">
        <v>83707</v>
      </c>
      <c r="AI65" s="37" t="s">
        <v>397</v>
      </c>
      <c r="AJ65" s="25">
        <v>2083314765</v>
      </c>
      <c r="AK65" s="38">
        <v>111</v>
      </c>
      <c r="AL65" s="23">
        <f t="shared" si="19"/>
        <v>29</v>
      </c>
      <c r="AN65" s="57"/>
      <c r="AO65" s="25">
        <v>4</v>
      </c>
      <c r="AP65" s="25">
        <v>16</v>
      </c>
      <c r="AQ65" s="25">
        <v>8</v>
      </c>
      <c r="AV65" s="25">
        <v>1</v>
      </c>
      <c r="AW65" s="24" t="s">
        <v>80</v>
      </c>
      <c r="BA65" s="24">
        <v>23</v>
      </c>
      <c r="BB65" s="24">
        <v>4</v>
      </c>
      <c r="BG65" s="25">
        <f t="shared" si="20"/>
        <v>27</v>
      </c>
      <c r="BH65" s="39">
        <f t="shared" si="21"/>
        <v>0.51481481481481484</v>
      </c>
      <c r="BJ65" s="40">
        <v>6385318</v>
      </c>
      <c r="BK65" s="40">
        <f>VLOOKUP(M65,[1]EconBenMult!$B$12:$D$14,2,TRUE)*(BJ65/1000000)</f>
        <v>76.815375539999991</v>
      </c>
      <c r="BL65" s="31">
        <f>VLOOKUP(M65,[1]EconBenMult!$B$12:$D$14,3,TRUE)*(BJ65/1000000)</f>
        <v>4464798.5620243</v>
      </c>
    </row>
    <row r="66" spans="1:68" ht="15" customHeight="1" x14ac:dyDescent="0.2">
      <c r="A66" s="22">
        <v>43766</v>
      </c>
      <c r="B66" s="23">
        <v>2020</v>
      </c>
      <c r="C66" s="24" t="s">
        <v>181</v>
      </c>
      <c r="D66" s="44" t="s">
        <v>398</v>
      </c>
      <c r="E66" s="25" t="s">
        <v>399</v>
      </c>
      <c r="F66" s="44" t="s">
        <v>103</v>
      </c>
      <c r="G66" s="26">
        <v>59601</v>
      </c>
      <c r="H66" s="27">
        <v>46.587560000000003</v>
      </c>
      <c r="I66" s="27">
        <v>-112.04116999999999</v>
      </c>
      <c r="J66" s="44" t="s">
        <v>104</v>
      </c>
      <c r="K66" s="45">
        <v>0.09</v>
      </c>
      <c r="L66" s="46" t="s">
        <v>60</v>
      </c>
      <c r="M66" s="25" t="s">
        <v>61</v>
      </c>
      <c r="N66" s="47" t="s">
        <v>62</v>
      </c>
      <c r="O66" s="29">
        <v>44</v>
      </c>
      <c r="P66" s="23">
        <v>2</v>
      </c>
      <c r="Q66" s="30">
        <v>6333750</v>
      </c>
      <c r="R66" s="79">
        <v>5446480</v>
      </c>
      <c r="S66" s="30"/>
      <c r="T66" s="30"/>
      <c r="W66" s="22">
        <v>44197</v>
      </c>
      <c r="X66" s="22"/>
      <c r="Y66" s="34">
        <f t="shared" si="15"/>
        <v>44197</v>
      </c>
      <c r="Z66" s="35">
        <f t="shared" si="16"/>
        <v>49310</v>
      </c>
      <c r="AA66" s="56">
        <v>31</v>
      </c>
      <c r="AB66" s="35">
        <f t="shared" si="17"/>
        <v>60633</v>
      </c>
      <c r="AC66" s="25" t="s">
        <v>400</v>
      </c>
      <c r="AD66" s="25" t="s">
        <v>106</v>
      </c>
      <c r="AE66" s="25" t="s">
        <v>401</v>
      </c>
      <c r="AF66" s="25" t="s">
        <v>108</v>
      </c>
      <c r="AG66" s="25" t="s">
        <v>67</v>
      </c>
      <c r="AH66" s="25">
        <v>59802</v>
      </c>
      <c r="AI66" s="37" t="s">
        <v>402</v>
      </c>
      <c r="AJ66" s="25">
        <v>4067283040</v>
      </c>
      <c r="AK66" s="38">
        <v>323</v>
      </c>
      <c r="AL66" s="23">
        <f t="shared" si="19"/>
        <v>44</v>
      </c>
      <c r="AN66" s="57"/>
      <c r="AO66" s="25">
        <v>24</v>
      </c>
      <c r="AP66" s="25">
        <v>20</v>
      </c>
      <c r="AW66" s="24" t="s">
        <v>228</v>
      </c>
      <c r="AZ66" s="24">
        <v>5</v>
      </c>
      <c r="BA66" s="24">
        <v>26</v>
      </c>
      <c r="BB66" s="24">
        <v>6</v>
      </c>
      <c r="BD66" s="24">
        <v>7</v>
      </c>
      <c r="BG66" s="25">
        <f t="shared" si="20"/>
        <v>44</v>
      </c>
      <c r="BH66" s="39">
        <f t="shared" si="21"/>
        <v>0.55000000000000004</v>
      </c>
      <c r="BJ66" s="40">
        <v>7203715</v>
      </c>
      <c r="BK66" s="40">
        <f>VLOOKUP(M66,[1]EconBenMult!$B$12:$D$14,2,TRUE)*(BJ66/1000000)</f>
        <v>55.900828399999995</v>
      </c>
      <c r="BL66" s="31">
        <f>VLOOKUP(M66,[1]EconBenMult!$B$12:$D$14,3,TRUE)*(BJ66/1000000)</f>
        <v>3084832.7551686</v>
      </c>
    </row>
    <row r="67" spans="1:68" ht="15" customHeight="1" x14ac:dyDescent="0.2">
      <c r="A67" s="22">
        <v>43766</v>
      </c>
      <c r="B67" s="23">
        <v>2020</v>
      </c>
      <c r="C67" s="24" t="s">
        <v>181</v>
      </c>
      <c r="D67" s="44" t="s">
        <v>403</v>
      </c>
      <c r="E67" s="25" t="s">
        <v>404</v>
      </c>
      <c r="F67" s="44" t="s">
        <v>93</v>
      </c>
      <c r="G67" s="26">
        <v>59718</v>
      </c>
      <c r="J67" s="44" t="s">
        <v>94</v>
      </c>
      <c r="K67" s="45">
        <v>0.09</v>
      </c>
      <c r="L67" s="46" t="s">
        <v>60</v>
      </c>
      <c r="M67" s="25" t="s">
        <v>95</v>
      </c>
      <c r="N67" s="47" t="s">
        <v>75</v>
      </c>
      <c r="O67" s="29">
        <v>30</v>
      </c>
      <c r="P67" s="23">
        <v>1</v>
      </c>
      <c r="Q67" s="30">
        <v>6333750</v>
      </c>
      <c r="R67" s="79">
        <v>5446480</v>
      </c>
      <c r="S67" s="30"/>
      <c r="T67" s="30"/>
      <c r="W67" s="22"/>
      <c r="X67" s="22"/>
      <c r="Y67" s="34">
        <f t="shared" si="15"/>
        <v>0</v>
      </c>
      <c r="Z67" s="35">
        <f t="shared" si="16"/>
        <v>5114</v>
      </c>
      <c r="AA67" s="56">
        <v>31</v>
      </c>
      <c r="AB67" s="35">
        <f t="shared" si="17"/>
        <v>16437</v>
      </c>
      <c r="AC67" s="25" t="s">
        <v>285</v>
      </c>
      <c r="AD67" s="25" t="s">
        <v>405</v>
      </c>
      <c r="AE67" s="25" t="s">
        <v>287</v>
      </c>
      <c r="AF67" s="25" t="s">
        <v>108</v>
      </c>
      <c r="AG67" s="25" t="s">
        <v>67</v>
      </c>
      <c r="AH67" s="25">
        <v>59802</v>
      </c>
      <c r="AI67" s="37" t="s">
        <v>406</v>
      </c>
      <c r="AJ67" s="25">
        <v>4069604870</v>
      </c>
      <c r="AK67" s="38">
        <v>113</v>
      </c>
      <c r="AL67" s="23">
        <f t="shared" si="19"/>
        <v>30</v>
      </c>
      <c r="AN67" s="57"/>
      <c r="AO67" s="25">
        <v>20</v>
      </c>
      <c r="AP67" s="25">
        <v>10</v>
      </c>
      <c r="AW67" s="24" t="s">
        <v>80</v>
      </c>
      <c r="AZ67" s="24">
        <v>3</v>
      </c>
      <c r="BA67" s="24">
        <v>23</v>
      </c>
      <c r="BB67" s="24">
        <v>4</v>
      </c>
      <c r="BG67" s="25">
        <f t="shared" si="20"/>
        <v>30</v>
      </c>
      <c r="BH67" s="39">
        <f t="shared" si="21"/>
        <v>0.5033333333333333</v>
      </c>
      <c r="BJ67" s="40">
        <v>7203715</v>
      </c>
      <c r="BK67" s="40">
        <f>VLOOKUP(M67,[1]EconBenMult!$B$12:$D$14,2,TRUE)*(BJ67/1000000)</f>
        <v>86.660691449999987</v>
      </c>
      <c r="BL67" s="31">
        <f>VLOOKUP(M67,[1]EconBenMult!$B$12:$D$14,3,TRUE)*(BJ67/1000000)</f>
        <v>5037045.3551777499</v>
      </c>
    </row>
    <row r="68" spans="1:68" s="62" customFormat="1" x14ac:dyDescent="0.2">
      <c r="A68" s="58">
        <v>43423</v>
      </c>
      <c r="B68" s="59">
        <v>2019</v>
      </c>
      <c r="C68" s="60" t="s">
        <v>181</v>
      </c>
      <c r="D68" s="61" t="s">
        <v>407</v>
      </c>
      <c r="E68" s="62" t="s">
        <v>408</v>
      </c>
      <c r="F68" s="61" t="s">
        <v>409</v>
      </c>
      <c r="G68" s="63">
        <v>59722</v>
      </c>
      <c r="H68" s="64"/>
      <c r="I68" s="64"/>
      <c r="J68" s="61" t="s">
        <v>410</v>
      </c>
      <c r="K68" s="65">
        <v>0.09</v>
      </c>
      <c r="L68" s="66" t="s">
        <v>411</v>
      </c>
      <c r="M68" s="62" t="s">
        <v>95</v>
      </c>
      <c r="N68" s="67" t="s">
        <v>62</v>
      </c>
      <c r="O68" s="68" t="s">
        <v>412</v>
      </c>
      <c r="P68" s="59"/>
      <c r="Q68" s="69">
        <v>617770</v>
      </c>
      <c r="R68" s="70"/>
      <c r="S68" s="69"/>
      <c r="T68" s="69"/>
      <c r="U68" s="71"/>
      <c r="V68" s="72"/>
      <c r="W68" s="58">
        <v>44098</v>
      </c>
      <c r="X68" s="58"/>
      <c r="Y68" s="34">
        <f t="shared" si="15"/>
        <v>44098</v>
      </c>
      <c r="Z68" s="35">
        <f t="shared" si="16"/>
        <v>49211</v>
      </c>
      <c r="AA68" s="74">
        <v>31</v>
      </c>
      <c r="AB68" s="35">
        <f t="shared" si="17"/>
        <v>60534</v>
      </c>
      <c r="AI68" s="37"/>
      <c r="AK68" s="76"/>
      <c r="AL68" s="59"/>
      <c r="AN68" s="77"/>
      <c r="AW68" s="60"/>
      <c r="AX68" s="60"/>
      <c r="AY68" s="60"/>
      <c r="AZ68" s="60"/>
      <c r="BA68" s="60"/>
      <c r="BB68" s="60"/>
      <c r="BC68" s="60"/>
      <c r="BD68" s="60"/>
      <c r="BE68" s="60"/>
      <c r="BJ68" s="40"/>
      <c r="BK68" s="40"/>
      <c r="BL68" s="31"/>
      <c r="BM68" s="40"/>
      <c r="BN68" s="40"/>
      <c r="BO68" s="40"/>
      <c r="BP68" s="40"/>
    </row>
    <row r="69" spans="1:68" ht="15" customHeight="1" x14ac:dyDescent="0.2">
      <c r="A69" s="22">
        <v>43423</v>
      </c>
      <c r="B69" s="23">
        <v>2019</v>
      </c>
      <c r="C69" s="24" t="s">
        <v>181</v>
      </c>
      <c r="D69" s="44" t="s">
        <v>413</v>
      </c>
      <c r="E69" s="25" t="s">
        <v>414</v>
      </c>
      <c r="F69" s="44" t="s">
        <v>415</v>
      </c>
      <c r="G69" s="26">
        <v>59937</v>
      </c>
      <c r="J69" s="44" t="s">
        <v>59</v>
      </c>
      <c r="K69" s="45">
        <v>0.09</v>
      </c>
      <c r="L69" s="46" t="s">
        <v>239</v>
      </c>
      <c r="M69" s="25" t="s">
        <v>95</v>
      </c>
      <c r="N69" s="47" t="s">
        <v>62</v>
      </c>
      <c r="O69" s="29">
        <v>38</v>
      </c>
      <c r="P69" s="23">
        <v>3</v>
      </c>
      <c r="Q69" s="30">
        <v>6750000</v>
      </c>
      <c r="R69" s="79">
        <v>6141886</v>
      </c>
      <c r="S69" s="30"/>
      <c r="T69" s="30"/>
      <c r="W69" s="22">
        <v>44134</v>
      </c>
      <c r="X69" s="22"/>
      <c r="Y69" s="34">
        <f t="shared" si="15"/>
        <v>44134</v>
      </c>
      <c r="Z69" s="35">
        <f t="shared" si="16"/>
        <v>49247</v>
      </c>
      <c r="AA69" s="56">
        <v>31</v>
      </c>
      <c r="AB69" s="35">
        <f t="shared" si="17"/>
        <v>60570</v>
      </c>
      <c r="AC69" s="25" t="s">
        <v>416</v>
      </c>
      <c r="AD69" s="25" t="s">
        <v>417</v>
      </c>
      <c r="AE69" s="25" t="s">
        <v>297</v>
      </c>
      <c r="AF69" s="25" t="s">
        <v>108</v>
      </c>
      <c r="AG69" s="25" t="s">
        <v>67</v>
      </c>
      <c r="AH69" s="25">
        <v>59808</v>
      </c>
      <c r="AI69" s="37" t="s">
        <v>206</v>
      </c>
      <c r="AJ69" s="25">
        <v>4065324663</v>
      </c>
      <c r="AK69" s="38"/>
      <c r="AL69" s="23"/>
      <c r="AN69" s="57"/>
      <c r="BJ69" s="40">
        <v>8708814</v>
      </c>
      <c r="BK69" s="40">
        <f>VLOOKUP(M69,[1]EconBenMult!$B$12:$D$14,2,TRUE)*(BJ69/1000000)</f>
        <v>104.76703241999999</v>
      </c>
      <c r="BL69" s="31">
        <f>VLOOKUP(M69,[1]EconBenMult!$B$12:$D$14,3,TRUE)*(BJ69/1000000)</f>
        <v>6089453.9980838997</v>
      </c>
    </row>
    <row r="70" spans="1:68" ht="15" customHeight="1" x14ac:dyDescent="0.2">
      <c r="A70" s="22">
        <v>43760</v>
      </c>
      <c r="B70" s="23">
        <v>2019</v>
      </c>
      <c r="C70" s="24" t="s">
        <v>181</v>
      </c>
      <c r="D70" s="44" t="s">
        <v>418</v>
      </c>
      <c r="E70" s="25" t="s">
        <v>419</v>
      </c>
      <c r="F70" s="44" t="s">
        <v>103</v>
      </c>
      <c r="G70" s="26">
        <v>59601</v>
      </c>
      <c r="H70" s="27">
        <v>46.612290000000002</v>
      </c>
      <c r="I70" s="27">
        <v>-112.05502</v>
      </c>
      <c r="J70" s="44" t="s">
        <v>104</v>
      </c>
      <c r="K70" s="45">
        <v>0.04</v>
      </c>
      <c r="L70" s="46" t="s">
        <v>239</v>
      </c>
      <c r="M70" s="25" t="s">
        <v>95</v>
      </c>
      <c r="N70" s="47" t="s">
        <v>62</v>
      </c>
      <c r="O70" s="29">
        <v>48</v>
      </c>
      <c r="P70" s="23">
        <v>14</v>
      </c>
      <c r="Q70" s="30">
        <v>3150940</v>
      </c>
      <c r="R70" s="79">
        <v>3402674</v>
      </c>
      <c r="S70" s="30">
        <v>6000000</v>
      </c>
      <c r="T70" s="30">
        <v>3900000</v>
      </c>
      <c r="U70" s="32">
        <v>4.7500000000000001E-2</v>
      </c>
      <c r="V70" s="33">
        <v>35</v>
      </c>
      <c r="W70" s="22">
        <v>44167</v>
      </c>
      <c r="X70" s="22"/>
      <c r="Y70" s="34">
        <f t="shared" si="15"/>
        <v>44167</v>
      </c>
      <c r="Z70" s="35">
        <f t="shared" si="16"/>
        <v>49280</v>
      </c>
      <c r="AA70" s="56">
        <v>31</v>
      </c>
      <c r="AB70" s="35">
        <f t="shared" si="17"/>
        <v>60603</v>
      </c>
      <c r="AC70" s="25" t="s">
        <v>420</v>
      </c>
      <c r="AI70" s="37" t="s">
        <v>421</v>
      </c>
      <c r="AK70" s="38"/>
      <c r="AL70" s="23"/>
      <c r="AN70" s="57"/>
      <c r="BJ70" s="40">
        <v>11521105</v>
      </c>
      <c r="BK70" s="40">
        <f>VLOOKUP(M70,[1]EconBenMult!$B$12:$D$14,2,TRUE)*(BJ70/1000000)</f>
        <v>138.59889315000001</v>
      </c>
      <c r="BL70" s="31">
        <f>VLOOKUP(M70,[1]EconBenMult!$B$12:$D$14,3,TRUE)*(BJ70/1000000)</f>
        <v>8055888.9998792503</v>
      </c>
    </row>
    <row r="71" spans="1:68" s="62" customFormat="1" x14ac:dyDescent="0.2">
      <c r="A71" s="82">
        <v>43059</v>
      </c>
      <c r="B71" s="60">
        <v>2019</v>
      </c>
      <c r="C71" s="60" t="s">
        <v>181</v>
      </c>
      <c r="D71" s="62" t="s">
        <v>422</v>
      </c>
      <c r="E71" s="62" t="s">
        <v>423</v>
      </c>
      <c r="F71" s="62" t="s">
        <v>316</v>
      </c>
      <c r="G71" s="63">
        <v>59047</v>
      </c>
      <c r="H71" s="64"/>
      <c r="I71" s="64"/>
      <c r="J71" s="62" t="s">
        <v>317</v>
      </c>
      <c r="K71" s="83">
        <v>0.09</v>
      </c>
      <c r="L71" s="60" t="s">
        <v>239</v>
      </c>
      <c r="M71" s="62" t="s">
        <v>61</v>
      </c>
      <c r="N71" s="60" t="s">
        <v>62</v>
      </c>
      <c r="O71" s="68"/>
      <c r="P71" s="68"/>
      <c r="Q71" s="69"/>
      <c r="R71" s="69"/>
      <c r="S71" s="69"/>
      <c r="T71" s="69"/>
      <c r="U71" s="71"/>
      <c r="V71" s="72"/>
      <c r="W71" s="82">
        <v>44074</v>
      </c>
      <c r="X71" s="82"/>
      <c r="Y71" s="34">
        <f t="shared" si="15"/>
        <v>44074</v>
      </c>
      <c r="Z71" s="35">
        <f t="shared" si="16"/>
        <v>49187</v>
      </c>
      <c r="AA71" s="84">
        <v>31</v>
      </c>
      <c r="AB71" s="35">
        <f t="shared" si="17"/>
        <v>60510</v>
      </c>
      <c r="AC71" s="62" t="s">
        <v>424</v>
      </c>
      <c r="AD71" s="62" t="s">
        <v>425</v>
      </c>
      <c r="AE71" s="62" t="s">
        <v>426</v>
      </c>
      <c r="AF71" s="62" t="s">
        <v>427</v>
      </c>
      <c r="AI71" s="37"/>
      <c r="AK71" s="85"/>
      <c r="AL71" s="60"/>
      <c r="AW71" s="60"/>
      <c r="AX71" s="60"/>
      <c r="AY71" s="60"/>
      <c r="AZ71" s="60"/>
      <c r="BA71" s="60"/>
      <c r="BB71" s="60"/>
      <c r="BC71" s="60"/>
      <c r="BD71" s="60"/>
      <c r="BE71" s="60"/>
      <c r="BJ71" s="40"/>
      <c r="BK71" s="40">
        <f>VLOOKUP(M71,[1]EconBenMult!$B$12:$D$14,2,TRUE)*(BJ71/1000000)</f>
        <v>0</v>
      </c>
      <c r="BL71" s="31">
        <f>VLOOKUP(M71,[1]EconBenMult!$B$12:$D$14,3,TRUE)*(BJ71/1000000)</f>
        <v>0</v>
      </c>
      <c r="BM71" s="40"/>
      <c r="BN71" s="40"/>
      <c r="BO71" s="40"/>
      <c r="BP71" s="40"/>
    </row>
    <row r="72" spans="1:68" ht="15" customHeight="1" x14ac:dyDescent="0.2">
      <c r="A72" s="22">
        <v>43423</v>
      </c>
      <c r="B72" s="23">
        <v>2019</v>
      </c>
      <c r="C72" s="24" t="s">
        <v>181</v>
      </c>
      <c r="D72" s="44" t="s">
        <v>428</v>
      </c>
      <c r="E72" s="25" t="s">
        <v>419</v>
      </c>
      <c r="F72" s="44" t="s">
        <v>103</v>
      </c>
      <c r="G72" s="26">
        <v>59601</v>
      </c>
      <c r="H72" s="27">
        <v>46.612290000000002</v>
      </c>
      <c r="I72" s="27">
        <v>-112.05502</v>
      </c>
      <c r="J72" s="44" t="s">
        <v>104</v>
      </c>
      <c r="K72" s="45">
        <v>0.09</v>
      </c>
      <c r="L72" s="46" t="s">
        <v>239</v>
      </c>
      <c r="M72" s="81" t="s">
        <v>95</v>
      </c>
      <c r="N72" s="47" t="s">
        <v>62</v>
      </c>
      <c r="O72" s="29">
        <v>37</v>
      </c>
      <c r="P72" s="23">
        <v>11</v>
      </c>
      <c r="Q72" s="30">
        <v>7790000</v>
      </c>
      <c r="R72" s="79">
        <v>6075592</v>
      </c>
      <c r="S72" s="30"/>
      <c r="T72" s="30"/>
      <c r="W72" s="22">
        <v>44130</v>
      </c>
      <c r="X72" s="22"/>
      <c r="Y72" s="34">
        <f t="shared" si="15"/>
        <v>44130</v>
      </c>
      <c r="Z72" s="35">
        <f t="shared" si="16"/>
        <v>49243</v>
      </c>
      <c r="AA72" s="56">
        <v>31</v>
      </c>
      <c r="AB72" s="35">
        <f t="shared" si="17"/>
        <v>60566</v>
      </c>
      <c r="AC72" s="25" t="s">
        <v>429</v>
      </c>
      <c r="AD72" s="25" t="s">
        <v>430</v>
      </c>
      <c r="AE72" s="25" t="s">
        <v>431</v>
      </c>
      <c r="AF72" s="25" t="s">
        <v>103</v>
      </c>
      <c r="AG72" s="25" t="s">
        <v>67</v>
      </c>
      <c r="AH72" s="25">
        <v>59624</v>
      </c>
      <c r="AI72" s="37" t="s">
        <v>421</v>
      </c>
      <c r="AJ72" s="25">
        <v>4064577473</v>
      </c>
      <c r="AK72" s="38"/>
      <c r="AL72" s="23"/>
      <c r="AN72" s="57"/>
      <c r="BJ72" s="40">
        <v>8268072</v>
      </c>
      <c r="BK72" s="40">
        <f>VLOOKUP(M72,[1]EconBenMult!$B$12:$D$14,2,TRUE)*(BJ72/1000000)</f>
        <v>99.464906159999998</v>
      </c>
      <c r="BL72" s="31">
        <f>VLOOKUP(M72,[1]EconBenMult!$B$12:$D$14,3,TRUE)*(BJ72/1000000)</f>
        <v>5781274.4762771996</v>
      </c>
    </row>
    <row r="73" spans="1:68" s="87" customFormat="1" ht="15" customHeight="1" x14ac:dyDescent="0.2">
      <c r="A73" s="22">
        <v>43423</v>
      </c>
      <c r="B73" s="24">
        <v>2019</v>
      </c>
      <c r="C73" s="24" t="s">
        <v>181</v>
      </c>
      <c r="D73" s="25" t="s">
        <v>432</v>
      </c>
      <c r="E73" s="25" t="s">
        <v>433</v>
      </c>
      <c r="F73" s="25" t="s">
        <v>113</v>
      </c>
      <c r="G73" s="26">
        <v>59102</v>
      </c>
      <c r="H73" s="27">
        <v>45.797939999999997</v>
      </c>
      <c r="I73" s="27">
        <v>-108.61602999999999</v>
      </c>
      <c r="J73" s="25" t="s">
        <v>114</v>
      </c>
      <c r="K73" s="28">
        <v>0.09</v>
      </c>
      <c r="L73" s="46" t="s">
        <v>239</v>
      </c>
      <c r="M73" s="25" t="s">
        <v>95</v>
      </c>
      <c r="N73" s="24" t="s">
        <v>75</v>
      </c>
      <c r="O73" s="29">
        <v>54</v>
      </c>
      <c r="P73" s="24">
        <v>1</v>
      </c>
      <c r="Q73" s="49">
        <v>8023103</v>
      </c>
      <c r="R73" s="54">
        <v>7123538</v>
      </c>
      <c r="S73" s="54"/>
      <c r="T73" s="54"/>
      <c r="U73" s="32"/>
      <c r="V73" s="33"/>
      <c r="W73" s="34"/>
      <c r="X73" s="34"/>
      <c r="Y73" s="34">
        <f t="shared" si="15"/>
        <v>0</v>
      </c>
      <c r="Z73" s="35">
        <f t="shared" si="16"/>
        <v>5114</v>
      </c>
      <c r="AA73" s="36">
        <v>31</v>
      </c>
      <c r="AB73" s="35">
        <f t="shared" si="17"/>
        <v>16437</v>
      </c>
      <c r="AC73" s="25" t="s">
        <v>434</v>
      </c>
      <c r="AD73" s="25" t="s">
        <v>435</v>
      </c>
      <c r="AE73" s="25" t="s">
        <v>436</v>
      </c>
      <c r="AF73" s="25" t="s">
        <v>113</v>
      </c>
      <c r="AG73" s="25" t="s">
        <v>67</v>
      </c>
      <c r="AH73" s="25">
        <v>59102</v>
      </c>
      <c r="AI73" s="37" t="s">
        <v>437</v>
      </c>
      <c r="AJ73" s="25">
        <v>4066555623</v>
      </c>
      <c r="AK73" s="42"/>
      <c r="AL73" s="24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86"/>
      <c r="AX73" s="86"/>
      <c r="AY73" s="86"/>
      <c r="AZ73" s="86"/>
      <c r="BA73" s="86"/>
      <c r="BB73" s="86"/>
      <c r="BC73" s="86"/>
      <c r="BD73" s="86"/>
      <c r="BE73" s="86"/>
      <c r="BJ73" s="40">
        <v>10360579</v>
      </c>
      <c r="BK73" s="40">
        <f>VLOOKUP(M73,[1]EconBenMult!$B$12:$D$14,2,TRUE)*(BJ73/1000000)</f>
        <v>124.63776536999998</v>
      </c>
      <c r="BL73" s="31">
        <f>VLOOKUP(M73,[1]EconBenMult!$B$12:$D$14,3,TRUE)*(BJ73/1000000)</f>
        <v>7244415.7395041492</v>
      </c>
      <c r="BM73" s="40"/>
      <c r="BN73" s="40"/>
      <c r="BO73" s="40"/>
      <c r="BP73" s="40"/>
    </row>
    <row r="74" spans="1:68" s="87" customFormat="1" ht="15" customHeight="1" x14ac:dyDescent="0.2">
      <c r="A74" s="22">
        <v>43423</v>
      </c>
      <c r="B74" s="24">
        <v>2019</v>
      </c>
      <c r="C74" s="24" t="s">
        <v>181</v>
      </c>
      <c r="D74" s="25" t="s">
        <v>438</v>
      </c>
      <c r="E74" s="25" t="s">
        <v>439</v>
      </c>
      <c r="F74" s="25" t="s">
        <v>440</v>
      </c>
      <c r="G74" s="26">
        <v>59864</v>
      </c>
      <c r="H74" s="27">
        <v>47.532310000000003</v>
      </c>
      <c r="I74" s="27">
        <v>-114.11508000000001</v>
      </c>
      <c r="J74" s="25" t="s">
        <v>441</v>
      </c>
      <c r="K74" s="28">
        <v>0.09</v>
      </c>
      <c r="L74" s="46" t="s">
        <v>239</v>
      </c>
      <c r="M74" s="25" t="s">
        <v>95</v>
      </c>
      <c r="N74" s="24" t="s">
        <v>62</v>
      </c>
      <c r="O74" s="29">
        <v>24</v>
      </c>
      <c r="P74" s="24">
        <v>2</v>
      </c>
      <c r="Q74" s="49">
        <v>4493320</v>
      </c>
      <c r="R74" s="54">
        <v>3886722</v>
      </c>
      <c r="S74" s="54"/>
      <c r="T74" s="54"/>
      <c r="U74" s="32"/>
      <c r="V74" s="33"/>
      <c r="W74" s="34">
        <v>44439</v>
      </c>
      <c r="X74" s="34"/>
      <c r="Y74" s="34">
        <f t="shared" si="15"/>
        <v>44439</v>
      </c>
      <c r="Z74" s="35">
        <f t="shared" si="16"/>
        <v>49552</v>
      </c>
      <c r="AA74" s="36">
        <v>31</v>
      </c>
      <c r="AB74" s="35">
        <f t="shared" si="17"/>
        <v>60875</v>
      </c>
      <c r="AC74" s="25" t="s">
        <v>442</v>
      </c>
      <c r="AD74" s="25" t="s">
        <v>443</v>
      </c>
      <c r="AE74" s="25" t="s">
        <v>444</v>
      </c>
      <c r="AF74" s="25" t="s">
        <v>440</v>
      </c>
      <c r="AG74" s="25" t="s">
        <v>67</v>
      </c>
      <c r="AH74" s="25">
        <v>59864</v>
      </c>
      <c r="AI74" s="37" t="s">
        <v>445</v>
      </c>
      <c r="AJ74" s="25">
        <v>4066765900</v>
      </c>
      <c r="AK74" s="42"/>
      <c r="AL74" s="23">
        <f t="shared" ref="AL74:AL75" si="22">SUM(AM74:AV74)</f>
        <v>24</v>
      </c>
      <c r="AM74" s="25"/>
      <c r="AN74" s="25"/>
      <c r="AO74" s="25">
        <v>4</v>
      </c>
      <c r="AP74" s="25">
        <v>12</v>
      </c>
      <c r="AQ74" s="25">
        <v>8</v>
      </c>
      <c r="AR74" s="25"/>
      <c r="AS74" s="25"/>
      <c r="AT74" s="25"/>
      <c r="AU74" s="25"/>
      <c r="AV74" s="25"/>
      <c r="AW74" s="24" t="s">
        <v>80</v>
      </c>
      <c r="AX74" s="86"/>
      <c r="AY74" s="86"/>
      <c r="AZ74" s="24">
        <v>4</v>
      </c>
      <c r="BA74" s="24">
        <v>12</v>
      </c>
      <c r="BB74" s="24">
        <v>8</v>
      </c>
      <c r="BC74" s="86"/>
      <c r="BD74" s="86"/>
      <c r="BE74" s="86"/>
      <c r="BG74" s="25">
        <f t="shared" ref="BG74:BG75" si="23">SUM(AY74:BF74)</f>
        <v>24</v>
      </c>
      <c r="BH74" s="39">
        <f t="shared" ref="BH74:BH75" si="24">((AY74*AY$1)+(AZ74*AZ$1)+(BA74*BA$1)+(BB74*BB$1)+(BC74*BC$1)+(BD74*BD$1))/SUM(AY74:BD74)</f>
        <v>0.51666666666666661</v>
      </c>
      <c r="BJ74" s="40">
        <v>5594894</v>
      </c>
      <c r="BK74" s="40">
        <f>VLOOKUP(M74,[1]EconBenMult!$B$12:$D$14,2,TRUE)*(BJ74/1000000)</f>
        <v>67.306574819999994</v>
      </c>
      <c r="BL74" s="31">
        <f>VLOOKUP(M74,[1]EconBenMult!$B$12:$D$14,3,TRUE)*(BJ74/1000000)</f>
        <v>3912111.2974918997</v>
      </c>
      <c r="BM74" s="40"/>
      <c r="BN74" s="40"/>
      <c r="BO74" s="40"/>
      <c r="BP74" s="40"/>
    </row>
    <row r="75" spans="1:68" s="87" customFormat="1" ht="15" customHeight="1" x14ac:dyDescent="0.2">
      <c r="A75" s="22">
        <v>43423</v>
      </c>
      <c r="B75" s="24">
        <v>2019</v>
      </c>
      <c r="C75" s="24" t="s">
        <v>181</v>
      </c>
      <c r="D75" s="25" t="s">
        <v>446</v>
      </c>
      <c r="E75" s="25" t="s">
        <v>447</v>
      </c>
      <c r="F75" s="25" t="s">
        <v>145</v>
      </c>
      <c r="G75" s="26">
        <v>59501</v>
      </c>
      <c r="H75" s="27">
        <v>48.554369999999999</v>
      </c>
      <c r="I75" s="27">
        <v>-109.65433</v>
      </c>
      <c r="J75" s="25" t="s">
        <v>146</v>
      </c>
      <c r="K75" s="28">
        <v>0.09</v>
      </c>
      <c r="L75" s="46" t="s">
        <v>239</v>
      </c>
      <c r="M75" s="25" t="s">
        <v>61</v>
      </c>
      <c r="N75" s="24" t="s">
        <v>62</v>
      </c>
      <c r="O75" s="29">
        <v>60</v>
      </c>
      <c r="P75" s="24">
        <v>4</v>
      </c>
      <c r="Q75" s="49">
        <v>3881250</v>
      </c>
      <c r="R75" s="54">
        <v>3221115</v>
      </c>
      <c r="S75" s="54"/>
      <c r="T75" s="54"/>
      <c r="U75" s="32"/>
      <c r="V75" s="33"/>
      <c r="W75" s="34">
        <v>44424</v>
      </c>
      <c r="X75" s="34"/>
      <c r="Y75" s="34">
        <f t="shared" si="15"/>
        <v>44424</v>
      </c>
      <c r="Z75" s="35">
        <f t="shared" si="16"/>
        <v>49537</v>
      </c>
      <c r="AA75" s="36">
        <v>31</v>
      </c>
      <c r="AB75" s="35">
        <f t="shared" si="17"/>
        <v>60860</v>
      </c>
      <c r="AC75" s="25" t="s">
        <v>448</v>
      </c>
      <c r="AD75" s="25" t="s">
        <v>449</v>
      </c>
      <c r="AE75" s="25" t="s">
        <v>450</v>
      </c>
      <c r="AF75" s="25" t="s">
        <v>451</v>
      </c>
      <c r="AG75" s="25" t="s">
        <v>452</v>
      </c>
      <c r="AH75" s="25">
        <v>48072</v>
      </c>
      <c r="AI75" s="37" t="s">
        <v>453</v>
      </c>
      <c r="AJ75" s="25">
        <v>2485252516</v>
      </c>
      <c r="AK75" s="42"/>
      <c r="AL75" s="23">
        <f t="shared" si="22"/>
        <v>60</v>
      </c>
      <c r="AM75" s="25"/>
      <c r="AN75" s="25"/>
      <c r="AO75" s="25"/>
      <c r="AP75" s="25">
        <f>23+12+1</f>
        <v>36</v>
      </c>
      <c r="AQ75" s="25">
        <f>16+7+1</f>
        <v>24</v>
      </c>
      <c r="AR75" s="25"/>
      <c r="AS75" s="25"/>
      <c r="AT75" s="25"/>
      <c r="AU75" s="25"/>
      <c r="AV75" s="25"/>
      <c r="AW75" s="24" t="s">
        <v>80</v>
      </c>
      <c r="AX75" s="24"/>
      <c r="AY75" s="24">
        <v>39</v>
      </c>
      <c r="AZ75" s="24">
        <v>19</v>
      </c>
      <c r="BA75" s="24">
        <v>2</v>
      </c>
      <c r="BB75" s="24"/>
      <c r="BC75" s="86"/>
      <c r="BD75" s="86"/>
      <c r="BE75" s="86"/>
      <c r="BG75" s="25">
        <f t="shared" si="23"/>
        <v>60</v>
      </c>
      <c r="BH75" s="39">
        <f t="shared" si="24"/>
        <v>0.33833333333333332</v>
      </c>
      <c r="BJ75" s="40">
        <v>7716755</v>
      </c>
      <c r="BK75" s="40">
        <f>VLOOKUP(M75,[1]EconBenMult!$B$12:$D$14,2,TRUE)*(BJ75/1000000)</f>
        <v>59.882018799999997</v>
      </c>
      <c r="BL75" s="31">
        <f>VLOOKUP(M75,[1]EconBenMult!$B$12:$D$14,3,TRUE)*(BJ75/1000000)</f>
        <v>3304530.8688101997</v>
      </c>
      <c r="BM75" s="40"/>
      <c r="BN75" s="40"/>
      <c r="BO75" s="40"/>
      <c r="BP75" s="40"/>
    </row>
    <row r="76" spans="1:68" s="87" customFormat="1" ht="15" customHeight="1" x14ac:dyDescent="0.2">
      <c r="A76" s="82">
        <v>42758</v>
      </c>
      <c r="B76" s="60">
        <v>2018</v>
      </c>
      <c r="C76" s="60" t="s">
        <v>181</v>
      </c>
      <c r="D76" s="62" t="s">
        <v>454</v>
      </c>
      <c r="E76" s="62" t="s">
        <v>455</v>
      </c>
      <c r="F76" s="62" t="s">
        <v>456</v>
      </c>
      <c r="G76" s="63">
        <v>59218</v>
      </c>
      <c r="H76" s="64"/>
      <c r="I76" s="64"/>
      <c r="J76" s="62" t="s">
        <v>457</v>
      </c>
      <c r="K76" s="83">
        <v>0.09</v>
      </c>
      <c r="L76" s="60" t="s">
        <v>458</v>
      </c>
      <c r="M76" s="62" t="s">
        <v>61</v>
      </c>
      <c r="N76" s="60" t="s">
        <v>62</v>
      </c>
      <c r="O76" s="68">
        <v>16</v>
      </c>
      <c r="P76" s="68">
        <v>2</v>
      </c>
      <c r="Q76" s="69">
        <v>330000</v>
      </c>
      <c r="R76" s="69">
        <f>2594345-2372000</f>
        <v>222345</v>
      </c>
      <c r="S76" s="69"/>
      <c r="T76" s="69"/>
      <c r="U76" s="71"/>
      <c r="V76" s="72"/>
      <c r="W76" s="34">
        <v>43586</v>
      </c>
      <c r="X76" s="34"/>
      <c r="Y76" s="34">
        <f t="shared" si="15"/>
        <v>43586</v>
      </c>
      <c r="Z76" s="35">
        <f t="shared" si="16"/>
        <v>48700</v>
      </c>
      <c r="AA76" s="84">
        <v>31</v>
      </c>
      <c r="AB76" s="35">
        <f t="shared" si="17"/>
        <v>60023</v>
      </c>
      <c r="AC76" s="62" t="s">
        <v>459</v>
      </c>
      <c r="AD76" s="62" t="s">
        <v>116</v>
      </c>
      <c r="AE76" s="62" t="s">
        <v>227</v>
      </c>
      <c r="AF76" s="62" t="s">
        <v>460</v>
      </c>
      <c r="AG76" s="62"/>
      <c r="AH76" s="62"/>
      <c r="AI76" s="37"/>
      <c r="AJ76" s="62"/>
      <c r="AK76" s="85"/>
      <c r="AL76" s="60">
        <v>16</v>
      </c>
      <c r="AM76" s="62"/>
      <c r="AN76" s="62"/>
      <c r="AO76" s="62">
        <v>8</v>
      </c>
      <c r="AP76" s="62">
        <v>8</v>
      </c>
      <c r="AQ76" s="62"/>
      <c r="AR76" s="62"/>
      <c r="AS76" s="62"/>
      <c r="AT76" s="62"/>
      <c r="AU76" s="62"/>
      <c r="AV76" s="62"/>
      <c r="AW76" s="86"/>
      <c r="AX76" s="86"/>
      <c r="AY76" s="86"/>
      <c r="AZ76" s="86"/>
      <c r="BA76" s="86"/>
      <c r="BB76" s="86"/>
      <c r="BC76" s="86"/>
      <c r="BD76" s="86"/>
      <c r="BE76" s="86"/>
      <c r="BJ76" s="40">
        <v>3759345</v>
      </c>
      <c r="BK76" s="40">
        <f>VLOOKUP(M76,[1]EconBenMult!$B$12:$D$14,2,TRUE)*(BJ76/1000000)</f>
        <v>29.172517200000001</v>
      </c>
      <c r="BL76" s="31">
        <f>VLOOKUP(M76,[1]EconBenMult!$B$12:$D$14,3,TRUE)*(BJ76/1000000)</f>
        <v>1609856.9410337999</v>
      </c>
      <c r="BM76" s="40"/>
      <c r="BN76" s="40"/>
      <c r="BO76" s="40"/>
      <c r="BP76" s="40"/>
    </row>
    <row r="77" spans="1:68" s="87" customFormat="1" ht="15" customHeight="1" x14ac:dyDescent="0.2">
      <c r="A77" s="82">
        <v>42388</v>
      </c>
      <c r="B77" s="60">
        <v>2018</v>
      </c>
      <c r="C77" s="60" t="s">
        <v>181</v>
      </c>
      <c r="D77" s="62" t="s">
        <v>461</v>
      </c>
      <c r="E77" s="62" t="s">
        <v>462</v>
      </c>
      <c r="F77" s="62" t="s">
        <v>463</v>
      </c>
      <c r="G77" s="63">
        <v>59201</v>
      </c>
      <c r="H77" s="64">
        <v>48.102020000000003</v>
      </c>
      <c r="I77" s="64">
        <v>-105.64167999999999</v>
      </c>
      <c r="J77" s="62" t="s">
        <v>464</v>
      </c>
      <c r="K77" s="83">
        <v>0.09</v>
      </c>
      <c r="L77" s="60" t="s">
        <v>411</v>
      </c>
      <c r="M77" s="62" t="s">
        <v>95</v>
      </c>
      <c r="N77" s="60" t="s">
        <v>62</v>
      </c>
      <c r="O77" s="68">
        <v>28</v>
      </c>
      <c r="P77" s="68">
        <v>1</v>
      </c>
      <c r="Q77" s="69">
        <v>550000</v>
      </c>
      <c r="R77" s="69">
        <v>429000</v>
      </c>
      <c r="S77" s="69"/>
      <c r="T77" s="69"/>
      <c r="U77" s="71"/>
      <c r="V77" s="72"/>
      <c r="W77" s="34">
        <v>43061</v>
      </c>
      <c r="X77" s="34"/>
      <c r="Y77" s="34">
        <f t="shared" si="15"/>
        <v>43061</v>
      </c>
      <c r="Z77" s="35">
        <f t="shared" si="16"/>
        <v>48174</v>
      </c>
      <c r="AA77" s="84">
        <v>31</v>
      </c>
      <c r="AB77" s="35">
        <f t="shared" si="17"/>
        <v>59497</v>
      </c>
      <c r="AC77" s="62" t="s">
        <v>465</v>
      </c>
      <c r="AD77" s="62" t="s">
        <v>116</v>
      </c>
      <c r="AE77" s="62" t="s">
        <v>227</v>
      </c>
      <c r="AF77" s="62" t="s">
        <v>460</v>
      </c>
      <c r="AG77" s="62"/>
      <c r="AH77" s="62"/>
      <c r="AI77" s="37"/>
      <c r="AJ77" s="62"/>
      <c r="AK77" s="85"/>
      <c r="AL77" s="60">
        <v>28</v>
      </c>
      <c r="AM77" s="62"/>
      <c r="AN77" s="62"/>
      <c r="AO77" s="62">
        <v>8</v>
      </c>
      <c r="AP77" s="62">
        <v>12</v>
      </c>
      <c r="AQ77" s="62">
        <v>8</v>
      </c>
      <c r="AR77" s="62"/>
      <c r="AS77" s="62"/>
      <c r="AT77" s="62"/>
      <c r="AU77" s="62"/>
      <c r="AV77" s="62"/>
      <c r="AW77" s="86"/>
      <c r="AX77" s="86"/>
      <c r="AY77" s="86"/>
      <c r="AZ77" s="86"/>
      <c r="BA77" s="86"/>
      <c r="BB77" s="86"/>
      <c r="BC77" s="86"/>
      <c r="BD77" s="86"/>
      <c r="BE77" s="86"/>
      <c r="BJ77" s="40">
        <v>6814207</v>
      </c>
      <c r="BK77" s="40">
        <f>VLOOKUP(M77,[1]EconBenMult!$B$12:$D$14,2,TRUE)*(BJ77/1000000)</f>
        <v>81.97491020999999</v>
      </c>
      <c r="BL77" s="31">
        <f>VLOOKUP(M77,[1]EconBenMult!$B$12:$D$14,3,TRUE)*(BJ77/1000000)</f>
        <v>4764690.1242719498</v>
      </c>
      <c r="BM77" s="40"/>
      <c r="BN77" s="40"/>
      <c r="BO77" s="40"/>
      <c r="BP77" s="40"/>
    </row>
    <row r="78" spans="1:68" s="87" customFormat="1" ht="15" customHeight="1" x14ac:dyDescent="0.2">
      <c r="A78" s="34">
        <v>43435</v>
      </c>
      <c r="B78" s="24">
        <v>2018</v>
      </c>
      <c r="C78" s="24" t="s">
        <v>181</v>
      </c>
      <c r="D78" s="25" t="s">
        <v>466</v>
      </c>
      <c r="E78" s="25" t="s">
        <v>467</v>
      </c>
      <c r="F78" s="25" t="s">
        <v>113</v>
      </c>
      <c r="G78" s="26">
        <v>59105</v>
      </c>
      <c r="H78" s="27">
        <v>45.822589999999998</v>
      </c>
      <c r="I78" s="27">
        <v>-108.47787</v>
      </c>
      <c r="J78" s="25" t="s">
        <v>114</v>
      </c>
      <c r="K78" s="28">
        <v>0.04</v>
      </c>
      <c r="L78" s="24" t="s">
        <v>411</v>
      </c>
      <c r="M78" s="25" t="s">
        <v>95</v>
      </c>
      <c r="N78" s="24" t="s">
        <v>75</v>
      </c>
      <c r="O78" s="29">
        <v>101</v>
      </c>
      <c r="P78" s="29">
        <v>8</v>
      </c>
      <c r="Q78" s="30">
        <v>8045480</v>
      </c>
      <c r="R78" s="30">
        <v>8855984</v>
      </c>
      <c r="S78" s="30">
        <v>15000000</v>
      </c>
      <c r="T78" s="30">
        <v>7875200</v>
      </c>
      <c r="U78" s="32">
        <v>4.7500000000000001E-2</v>
      </c>
      <c r="V78" s="33">
        <v>35</v>
      </c>
      <c r="W78" s="34">
        <v>43811</v>
      </c>
      <c r="X78" s="34"/>
      <c r="Y78" s="34">
        <f t="shared" si="15"/>
        <v>43811</v>
      </c>
      <c r="Z78" s="35">
        <f t="shared" si="16"/>
        <v>48925</v>
      </c>
      <c r="AA78" s="36">
        <v>31</v>
      </c>
      <c r="AB78" s="35">
        <f t="shared" si="17"/>
        <v>60248</v>
      </c>
      <c r="AC78" s="25" t="s">
        <v>468</v>
      </c>
      <c r="AD78" s="25" t="s">
        <v>469</v>
      </c>
      <c r="AE78" s="25" t="s">
        <v>470</v>
      </c>
      <c r="AF78" s="25" t="s">
        <v>471</v>
      </c>
      <c r="AG78" s="25"/>
      <c r="AH78" s="25"/>
      <c r="AI78" s="37"/>
      <c r="AJ78" s="25"/>
      <c r="AK78" s="42"/>
      <c r="AL78" s="24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86"/>
      <c r="AX78" s="86"/>
      <c r="AY78" s="86"/>
      <c r="AZ78" s="86"/>
      <c r="BA78" s="86"/>
      <c r="BB78" s="86"/>
      <c r="BC78" s="86"/>
      <c r="BD78" s="86"/>
      <c r="BE78" s="86"/>
      <c r="BJ78" s="40">
        <v>19778632</v>
      </c>
      <c r="BK78" s="40">
        <f>VLOOKUP(M78,[1]EconBenMult!$B$12:$D$14,2,TRUE)*(BJ78/1000000)</f>
        <v>237.93694296000001</v>
      </c>
      <c r="BL78" s="31">
        <f>VLOOKUP(M78,[1]EconBenMult!$B$12:$D$14,3,TRUE)*(BJ78/1000000)</f>
        <v>13829790.107933201</v>
      </c>
      <c r="BM78" s="40"/>
      <c r="BN78" s="40"/>
      <c r="BO78" s="40"/>
      <c r="BP78" s="40"/>
    </row>
    <row r="79" spans="1:68" s="62" customFormat="1" ht="15" customHeight="1" x14ac:dyDescent="0.2">
      <c r="A79" s="82"/>
      <c r="B79" s="60">
        <v>2018</v>
      </c>
      <c r="C79" s="60" t="s">
        <v>181</v>
      </c>
      <c r="D79" s="62" t="s">
        <v>472</v>
      </c>
      <c r="E79" s="62" t="s">
        <v>408</v>
      </c>
      <c r="F79" s="62" t="s">
        <v>409</v>
      </c>
      <c r="G79" s="63">
        <v>59722</v>
      </c>
      <c r="H79" s="64"/>
      <c r="I79" s="64"/>
      <c r="J79" s="62" t="s">
        <v>410</v>
      </c>
      <c r="K79" s="83">
        <v>0.09</v>
      </c>
      <c r="L79" s="60" t="s">
        <v>411</v>
      </c>
      <c r="M79" s="62" t="s">
        <v>95</v>
      </c>
      <c r="N79" s="60" t="s">
        <v>62</v>
      </c>
      <c r="O79" s="68">
        <v>21</v>
      </c>
      <c r="P79" s="68">
        <v>6</v>
      </c>
      <c r="Q79" s="69">
        <f>3990000+348970</f>
        <v>4338970</v>
      </c>
      <c r="R79" s="69">
        <v>4212808</v>
      </c>
      <c r="S79" s="69"/>
      <c r="T79" s="69"/>
      <c r="U79" s="71"/>
      <c r="V79" s="72"/>
      <c r="W79" s="82">
        <v>44098</v>
      </c>
      <c r="X79" s="82"/>
      <c r="Y79" s="34">
        <f t="shared" si="15"/>
        <v>44098</v>
      </c>
      <c r="Z79" s="35">
        <f t="shared" si="16"/>
        <v>49211</v>
      </c>
      <c r="AA79" s="84">
        <v>31</v>
      </c>
      <c r="AB79" s="75">
        <f t="shared" si="17"/>
        <v>60534</v>
      </c>
      <c r="AI79" s="37"/>
      <c r="AK79" s="85"/>
      <c r="AL79" s="60"/>
      <c r="AW79" s="60"/>
      <c r="AX79" s="60"/>
      <c r="AY79" s="60"/>
      <c r="AZ79" s="60"/>
      <c r="BA79" s="60"/>
      <c r="BB79" s="60"/>
      <c r="BC79" s="60"/>
      <c r="BD79" s="60"/>
      <c r="BE79" s="60"/>
      <c r="BJ79" s="40">
        <v>4872807</v>
      </c>
      <c r="BK79" s="40">
        <f>VLOOKUP(M79,[1]EconBenMult!$B$12:$D$14,2,TRUE)*(BJ79/1000000)</f>
        <v>58.619868209999993</v>
      </c>
      <c r="BL79" s="31">
        <f>VLOOKUP(M79,[1]EconBenMult!$B$12:$D$14,3,TRUE)*(BJ79/1000000)</f>
        <v>3407207.2348819496</v>
      </c>
      <c r="BM79" s="40"/>
      <c r="BN79" s="40"/>
      <c r="BO79" s="40"/>
      <c r="BP79" s="40"/>
    </row>
    <row r="80" spans="1:68" s="62" customFormat="1" ht="15" customHeight="1" x14ac:dyDescent="0.2">
      <c r="A80" s="34">
        <v>43374</v>
      </c>
      <c r="B80" s="24">
        <v>2018</v>
      </c>
      <c r="C80" s="24" t="s">
        <v>181</v>
      </c>
      <c r="D80" s="25" t="s">
        <v>473</v>
      </c>
      <c r="E80" s="25" t="s">
        <v>474</v>
      </c>
      <c r="F80" s="25" t="s">
        <v>210</v>
      </c>
      <c r="G80" s="26">
        <v>59701</v>
      </c>
      <c r="H80" s="27">
        <v>45.969140000000003</v>
      </c>
      <c r="I80" s="27">
        <v>-112.47703</v>
      </c>
      <c r="J80" s="25" t="s">
        <v>211</v>
      </c>
      <c r="K80" s="28">
        <v>0.04</v>
      </c>
      <c r="L80" s="24" t="s">
        <v>239</v>
      </c>
      <c r="M80" s="25" t="s">
        <v>95</v>
      </c>
      <c r="N80" s="24" t="s">
        <v>62</v>
      </c>
      <c r="O80" s="29">
        <v>32</v>
      </c>
      <c r="P80" s="29">
        <v>4</v>
      </c>
      <c r="Q80" s="30">
        <v>1485560</v>
      </c>
      <c r="R80" s="30">
        <v>1485411</v>
      </c>
      <c r="S80" s="30">
        <v>3584712</v>
      </c>
      <c r="T80" s="30">
        <v>2833504</v>
      </c>
      <c r="U80" s="32">
        <v>4.2500000000000003E-2</v>
      </c>
      <c r="V80" s="33">
        <v>35</v>
      </c>
      <c r="W80" s="34">
        <v>43881</v>
      </c>
      <c r="X80" s="34"/>
      <c r="Y80" s="34">
        <f t="shared" si="15"/>
        <v>43881</v>
      </c>
      <c r="Z80" s="35">
        <f t="shared" si="16"/>
        <v>48995</v>
      </c>
      <c r="AA80" s="36">
        <v>31</v>
      </c>
      <c r="AB80" s="35">
        <f t="shared" si="17"/>
        <v>60318</v>
      </c>
      <c r="AC80" s="25" t="s">
        <v>475</v>
      </c>
      <c r="AD80" s="25" t="s">
        <v>476</v>
      </c>
      <c r="AE80" s="25" t="s">
        <v>353</v>
      </c>
      <c r="AF80" s="25" t="s">
        <v>215</v>
      </c>
      <c r="AG80" s="25" t="s">
        <v>216</v>
      </c>
      <c r="AH80" s="25">
        <v>83702</v>
      </c>
      <c r="AI80" s="37" t="s">
        <v>354</v>
      </c>
      <c r="AJ80" s="25" t="s">
        <v>477</v>
      </c>
      <c r="AK80" s="42">
        <v>219</v>
      </c>
      <c r="AL80" s="24">
        <v>32</v>
      </c>
      <c r="AM80" s="25"/>
      <c r="AN80" s="25"/>
      <c r="AO80" s="25"/>
      <c r="AP80" s="25">
        <v>16</v>
      </c>
      <c r="AQ80" s="25">
        <v>16</v>
      </c>
      <c r="AR80" s="25"/>
      <c r="AS80" s="25"/>
      <c r="AT80" s="25"/>
      <c r="AU80" s="25"/>
      <c r="AV80" s="25"/>
      <c r="AW80" s="60" t="s">
        <v>80</v>
      </c>
      <c r="AX80" s="60"/>
      <c r="AY80" s="60"/>
      <c r="AZ80" s="60"/>
      <c r="BA80" s="60">
        <v>6</v>
      </c>
      <c r="BB80" s="60">
        <v>26</v>
      </c>
      <c r="BC80" s="60"/>
      <c r="BD80" s="60"/>
      <c r="BE80" s="60"/>
      <c r="BJ80" s="40">
        <v>5280548</v>
      </c>
      <c r="BK80" s="40">
        <f>VLOOKUP(M80,[1]EconBenMult!$B$12:$D$14,2,TRUE)*(BJ80/1000000)</f>
        <v>63.524992439999991</v>
      </c>
      <c r="BL80" s="31">
        <f>VLOOKUP(M80,[1]EconBenMult!$B$12:$D$14,3,TRUE)*(BJ80/1000000)</f>
        <v>3692311.5054097995</v>
      </c>
      <c r="BM80" s="40"/>
      <c r="BN80" s="40"/>
      <c r="BO80" s="40"/>
      <c r="BP80" s="40"/>
    </row>
    <row r="81" spans="1:68" s="87" customFormat="1" x14ac:dyDescent="0.2">
      <c r="A81" s="34">
        <v>43059</v>
      </c>
      <c r="B81" s="24">
        <v>2018</v>
      </c>
      <c r="C81" s="24" t="s">
        <v>181</v>
      </c>
      <c r="D81" s="25" t="s">
        <v>478</v>
      </c>
      <c r="E81" s="25" t="s">
        <v>479</v>
      </c>
      <c r="F81" s="25" t="s">
        <v>237</v>
      </c>
      <c r="G81" s="26">
        <v>55317</v>
      </c>
      <c r="H81" s="27"/>
      <c r="I81" s="27"/>
      <c r="J81" s="25" t="s">
        <v>238</v>
      </c>
      <c r="K81" s="28">
        <v>0.09</v>
      </c>
      <c r="L81" s="24" t="s">
        <v>239</v>
      </c>
      <c r="M81" s="25" t="s">
        <v>329</v>
      </c>
      <c r="N81" s="24" t="s">
        <v>75</v>
      </c>
      <c r="O81" s="29">
        <v>35</v>
      </c>
      <c r="P81" s="29">
        <v>9</v>
      </c>
      <c r="Q81" s="30">
        <v>3200000</v>
      </c>
      <c r="R81" s="30">
        <v>2814437</v>
      </c>
      <c r="S81" s="30"/>
      <c r="T81" s="30"/>
      <c r="U81" s="32"/>
      <c r="V81" s="33"/>
      <c r="W81" s="34">
        <v>43466</v>
      </c>
      <c r="X81" s="34"/>
      <c r="Y81" s="34">
        <f t="shared" si="15"/>
        <v>43466</v>
      </c>
      <c r="Z81" s="35">
        <f t="shared" si="16"/>
        <v>48580</v>
      </c>
      <c r="AA81" s="36">
        <v>31</v>
      </c>
      <c r="AB81" s="35">
        <f t="shared" si="17"/>
        <v>59902</v>
      </c>
      <c r="AC81" s="25" t="s">
        <v>480</v>
      </c>
      <c r="AD81" s="25" t="s">
        <v>481</v>
      </c>
      <c r="AE81" s="25" t="s">
        <v>482</v>
      </c>
      <c r="AF81" s="25" t="s">
        <v>483</v>
      </c>
      <c r="AG81" s="25"/>
      <c r="AH81" s="25"/>
      <c r="AI81" s="37"/>
      <c r="AJ81" s="25"/>
      <c r="AK81" s="42"/>
      <c r="AL81" s="24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86"/>
      <c r="AX81" s="86"/>
      <c r="AY81" s="86"/>
      <c r="AZ81" s="86"/>
      <c r="BA81" s="86"/>
      <c r="BB81" s="86"/>
      <c r="BC81" s="86"/>
      <c r="BD81" s="86"/>
      <c r="BE81" s="86"/>
      <c r="BJ81" s="40">
        <v>4225371</v>
      </c>
      <c r="BK81" s="40">
        <f>VLOOKUP(M81,[1]EconBenMult!$B$12:$D$14,2,TRUE)*(BJ81/1000000)</f>
        <v>32.788878959999998</v>
      </c>
      <c r="BL81" s="31">
        <f>VLOOKUP(M81,[1]EconBenMult!$B$12:$D$14,3,TRUE)*(BJ81/1000000)</f>
        <v>1809422.34160284</v>
      </c>
      <c r="BM81" s="40"/>
      <c r="BN81" s="40"/>
      <c r="BO81" s="40"/>
      <c r="BP81" s="40"/>
    </row>
    <row r="82" spans="1:68" s="87" customFormat="1" ht="15" customHeight="1" x14ac:dyDescent="0.2">
      <c r="A82" s="34">
        <v>43059</v>
      </c>
      <c r="B82" s="24">
        <v>2018</v>
      </c>
      <c r="C82" s="24" t="s">
        <v>181</v>
      </c>
      <c r="D82" s="25" t="s">
        <v>484</v>
      </c>
      <c r="E82" s="25" t="s">
        <v>467</v>
      </c>
      <c r="F82" s="25" t="s">
        <v>113</v>
      </c>
      <c r="G82" s="26">
        <v>59105</v>
      </c>
      <c r="H82" s="27"/>
      <c r="I82" s="27"/>
      <c r="J82" s="25" t="s">
        <v>114</v>
      </c>
      <c r="K82" s="28">
        <v>0.09</v>
      </c>
      <c r="L82" s="24" t="s">
        <v>411</v>
      </c>
      <c r="M82" s="25" t="s">
        <v>95</v>
      </c>
      <c r="N82" s="24" t="s">
        <v>75</v>
      </c>
      <c r="O82" s="29">
        <v>40</v>
      </c>
      <c r="P82" s="29">
        <v>3</v>
      </c>
      <c r="Q82" s="30">
        <v>6775000</v>
      </c>
      <c r="R82" s="30">
        <v>5215707</v>
      </c>
      <c r="S82" s="30"/>
      <c r="T82" s="30"/>
      <c r="U82" s="32"/>
      <c r="V82" s="33"/>
      <c r="W82" s="34">
        <v>43811</v>
      </c>
      <c r="X82" s="34"/>
      <c r="Y82" s="34">
        <f t="shared" si="15"/>
        <v>43811</v>
      </c>
      <c r="Z82" s="35">
        <f t="shared" si="16"/>
        <v>48925</v>
      </c>
      <c r="AA82" s="36">
        <v>31</v>
      </c>
      <c r="AB82" s="35">
        <f t="shared" si="17"/>
        <v>60248</v>
      </c>
      <c r="AC82" s="25" t="s">
        <v>485</v>
      </c>
      <c r="AD82" s="25" t="s">
        <v>469</v>
      </c>
      <c r="AE82" s="25" t="s">
        <v>470</v>
      </c>
      <c r="AF82" s="25" t="s">
        <v>471</v>
      </c>
      <c r="AG82" s="25"/>
      <c r="AH82" s="25"/>
      <c r="AI82" s="37"/>
      <c r="AJ82" s="25"/>
      <c r="AK82" s="42"/>
      <c r="AL82" s="24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86"/>
      <c r="AX82" s="86"/>
      <c r="AY82" s="86"/>
      <c r="AZ82" s="86"/>
      <c r="BA82" s="86"/>
      <c r="BB82" s="86"/>
      <c r="BC82" s="86"/>
      <c r="BD82" s="86"/>
      <c r="BE82" s="86"/>
      <c r="BJ82" s="40">
        <v>6938233</v>
      </c>
      <c r="BK82" s="40">
        <f>VLOOKUP(M82,[1]EconBenMult!$B$12:$D$14,2,TRUE)*(BJ82/1000000)</f>
        <v>83.466942989999993</v>
      </c>
      <c r="BL82" s="31">
        <f>VLOOKUP(M82,[1]EconBenMult!$B$12:$D$14,3,TRUE)*(BJ82/1000000)</f>
        <v>4851412.6816220498</v>
      </c>
      <c r="BM82" s="40"/>
      <c r="BN82" s="40"/>
      <c r="BO82" s="40"/>
      <c r="BP82" s="40"/>
    </row>
    <row r="83" spans="1:68" s="87" customFormat="1" ht="15" customHeight="1" x14ac:dyDescent="0.2">
      <c r="A83" s="34">
        <v>43059</v>
      </c>
      <c r="B83" s="24">
        <v>2018</v>
      </c>
      <c r="C83" s="24" t="s">
        <v>181</v>
      </c>
      <c r="D83" s="25" t="s">
        <v>486</v>
      </c>
      <c r="E83" s="25" t="s">
        <v>487</v>
      </c>
      <c r="F83" s="25" t="s">
        <v>66</v>
      </c>
      <c r="G83" s="26">
        <v>59904</v>
      </c>
      <c r="H83" s="27"/>
      <c r="I83" s="27"/>
      <c r="J83" s="25" t="s">
        <v>59</v>
      </c>
      <c r="K83" s="28">
        <v>0.09</v>
      </c>
      <c r="L83" s="24" t="s">
        <v>239</v>
      </c>
      <c r="M83" s="25" t="s">
        <v>61</v>
      </c>
      <c r="N83" s="24" t="s">
        <v>62</v>
      </c>
      <c r="O83" s="29">
        <v>32</v>
      </c>
      <c r="P83" s="29">
        <v>4</v>
      </c>
      <c r="Q83" s="30">
        <v>4490000</v>
      </c>
      <c r="R83" s="30">
        <v>3950805</v>
      </c>
      <c r="S83" s="30"/>
      <c r="T83" s="30"/>
      <c r="U83" s="32"/>
      <c r="V83" s="33"/>
      <c r="W83" s="34">
        <v>43300</v>
      </c>
      <c r="X83" s="34"/>
      <c r="Y83" s="34">
        <f t="shared" si="15"/>
        <v>43300</v>
      </c>
      <c r="Z83" s="35">
        <f t="shared" si="16"/>
        <v>48414</v>
      </c>
      <c r="AA83" s="36">
        <v>31</v>
      </c>
      <c r="AB83" s="35">
        <f t="shared" si="17"/>
        <v>59736</v>
      </c>
      <c r="AC83" s="25" t="s">
        <v>488</v>
      </c>
      <c r="AD83" s="25" t="s">
        <v>489</v>
      </c>
      <c r="AE83" s="25" t="s">
        <v>490</v>
      </c>
      <c r="AF83" s="25" t="s">
        <v>491</v>
      </c>
      <c r="AG83" s="25"/>
      <c r="AH83" s="25"/>
      <c r="AI83" s="37"/>
      <c r="AJ83" s="25"/>
      <c r="AK83" s="42"/>
      <c r="AL83" s="24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86"/>
      <c r="AX83" s="86"/>
      <c r="AY83" s="86"/>
      <c r="AZ83" s="86"/>
      <c r="BA83" s="86"/>
      <c r="BB83" s="86"/>
      <c r="BC83" s="86"/>
      <c r="BD83" s="86"/>
      <c r="BE83" s="86"/>
      <c r="BJ83" s="40">
        <v>4892963</v>
      </c>
      <c r="BK83" s="40">
        <f>VLOOKUP(M83,[1]EconBenMult!$B$12:$D$14,2,TRUE)*(BJ83/1000000)</f>
        <v>37.969392880000001</v>
      </c>
      <c r="BL83" s="31">
        <f>VLOOKUP(M83,[1]EconBenMult!$B$12:$D$14,3,TRUE)*(BJ83/1000000)</f>
        <v>2095303.9552825198</v>
      </c>
      <c r="BM83" s="40"/>
      <c r="BN83" s="40"/>
      <c r="BO83" s="40"/>
      <c r="BP83" s="40"/>
    </row>
    <row r="84" spans="1:68" s="87" customFormat="1" ht="15" customHeight="1" x14ac:dyDescent="0.2">
      <c r="A84" s="34">
        <v>43059</v>
      </c>
      <c r="B84" s="24">
        <v>2018</v>
      </c>
      <c r="C84" s="24" t="s">
        <v>181</v>
      </c>
      <c r="D84" s="25" t="s">
        <v>492</v>
      </c>
      <c r="E84" s="25" t="s">
        <v>493</v>
      </c>
      <c r="F84" s="25" t="s">
        <v>210</v>
      </c>
      <c r="G84" s="26">
        <v>59701</v>
      </c>
      <c r="H84" s="27">
        <v>36.244540000000001</v>
      </c>
      <c r="I84" s="27">
        <v>-78.853909999999999</v>
      </c>
      <c r="J84" s="25" t="s">
        <v>211</v>
      </c>
      <c r="K84" s="28">
        <v>0.09</v>
      </c>
      <c r="L84" s="24" t="s">
        <v>239</v>
      </c>
      <c r="M84" s="25" t="s">
        <v>95</v>
      </c>
      <c r="N84" s="24" t="s">
        <v>62</v>
      </c>
      <c r="O84" s="29">
        <v>32</v>
      </c>
      <c r="P84" s="29">
        <v>5</v>
      </c>
      <c r="Q84" s="30">
        <f>5239540+472820</f>
        <v>5712360</v>
      </c>
      <c r="R84" s="30">
        <v>5083027</v>
      </c>
      <c r="S84" s="30"/>
      <c r="T84" s="30"/>
      <c r="U84" s="32"/>
      <c r="V84" s="33"/>
      <c r="W84" s="34">
        <v>43956</v>
      </c>
      <c r="X84" s="34"/>
      <c r="Y84" s="34">
        <f t="shared" si="15"/>
        <v>43956</v>
      </c>
      <c r="Z84" s="35">
        <f t="shared" si="16"/>
        <v>49069</v>
      </c>
      <c r="AA84" s="36">
        <v>31</v>
      </c>
      <c r="AB84" s="35">
        <f t="shared" si="17"/>
        <v>60392</v>
      </c>
      <c r="AC84" s="25" t="s">
        <v>494</v>
      </c>
      <c r="AD84" s="25" t="s">
        <v>476</v>
      </c>
      <c r="AE84" s="25" t="s">
        <v>353</v>
      </c>
      <c r="AF84" s="25" t="s">
        <v>215</v>
      </c>
      <c r="AG84" s="25" t="s">
        <v>216</v>
      </c>
      <c r="AH84" s="25">
        <v>83702</v>
      </c>
      <c r="AI84" s="37" t="s">
        <v>354</v>
      </c>
      <c r="AJ84" s="25" t="s">
        <v>477</v>
      </c>
      <c r="AK84" s="42">
        <v>219</v>
      </c>
      <c r="AL84" s="24">
        <v>32</v>
      </c>
      <c r="AM84" s="25"/>
      <c r="AN84" s="25"/>
      <c r="AO84" s="25"/>
      <c r="AP84" s="25">
        <v>16</v>
      </c>
      <c r="AQ84" s="25">
        <v>16</v>
      </c>
      <c r="AR84" s="25"/>
      <c r="AS84" s="25"/>
      <c r="AT84" s="25"/>
      <c r="AU84" s="25"/>
      <c r="AV84" s="25"/>
      <c r="AW84" s="86" t="s">
        <v>80</v>
      </c>
      <c r="AX84" s="86"/>
      <c r="AY84" s="86"/>
      <c r="AZ84" s="86">
        <v>6</v>
      </c>
      <c r="BA84" s="86">
        <v>20</v>
      </c>
      <c r="BB84" s="86">
        <v>6</v>
      </c>
      <c r="BC84" s="86"/>
      <c r="BD84" s="86"/>
      <c r="BE84" s="86"/>
      <c r="BJ84" s="40">
        <v>7410996</v>
      </c>
      <c r="BK84" s="40">
        <f>VLOOKUP(M84,[1]EconBenMult!$B$12:$D$14,2,TRUE)*(BJ84/1000000)</f>
        <v>89.154281879999999</v>
      </c>
      <c r="BL84" s="31">
        <f>VLOOKUP(M84,[1]EconBenMult!$B$12:$D$14,3,TRUE)*(BJ84/1000000)</f>
        <v>5181982.2104345998</v>
      </c>
      <c r="BM84" s="40"/>
      <c r="BN84" s="40"/>
      <c r="BO84" s="40"/>
      <c r="BP84" s="40"/>
    </row>
    <row r="85" spans="1:68" s="62" customFormat="1" ht="13.5" customHeight="1" x14ac:dyDescent="0.2">
      <c r="A85" s="82">
        <v>43059</v>
      </c>
      <c r="B85" s="60">
        <v>2018</v>
      </c>
      <c r="C85" s="60" t="s">
        <v>181</v>
      </c>
      <c r="D85" s="62" t="s">
        <v>495</v>
      </c>
      <c r="E85" s="62" t="s">
        <v>423</v>
      </c>
      <c r="F85" s="62" t="s">
        <v>316</v>
      </c>
      <c r="G85" s="63">
        <v>59047</v>
      </c>
      <c r="H85" s="64"/>
      <c r="I85" s="64"/>
      <c r="J85" s="62" t="s">
        <v>317</v>
      </c>
      <c r="K85" s="83">
        <v>0.09</v>
      </c>
      <c r="L85" s="60" t="s">
        <v>239</v>
      </c>
      <c r="M85" s="62" t="s">
        <v>61</v>
      </c>
      <c r="N85" s="60" t="s">
        <v>62</v>
      </c>
      <c r="O85" s="68">
        <v>37</v>
      </c>
      <c r="P85" s="68">
        <v>2</v>
      </c>
      <c r="Q85" s="69">
        <v>5874690</v>
      </c>
      <c r="R85" s="69">
        <v>5404714</v>
      </c>
      <c r="S85" s="69"/>
      <c r="T85" s="69"/>
      <c r="U85" s="71"/>
      <c r="V85" s="72"/>
      <c r="W85" s="82">
        <v>44074</v>
      </c>
      <c r="X85" s="82"/>
      <c r="Y85" s="34">
        <f t="shared" si="15"/>
        <v>44074</v>
      </c>
      <c r="Z85" s="35">
        <f t="shared" si="16"/>
        <v>49187</v>
      </c>
      <c r="AA85" s="84">
        <v>31</v>
      </c>
      <c r="AB85" s="35">
        <f t="shared" si="17"/>
        <v>60510</v>
      </c>
      <c r="AC85" s="62" t="s">
        <v>424</v>
      </c>
      <c r="AD85" s="62" t="s">
        <v>425</v>
      </c>
      <c r="AE85" s="62" t="s">
        <v>426</v>
      </c>
      <c r="AF85" s="62" t="s">
        <v>427</v>
      </c>
      <c r="AI85" s="37"/>
      <c r="AK85" s="85"/>
      <c r="AL85" s="60"/>
      <c r="AW85" s="60"/>
      <c r="AX85" s="60"/>
      <c r="AY85" s="60"/>
      <c r="AZ85" s="60"/>
      <c r="BA85" s="60"/>
      <c r="BB85" s="60"/>
      <c r="BC85" s="60"/>
      <c r="BD85" s="60"/>
      <c r="BE85" s="60"/>
      <c r="BJ85" s="40">
        <v>8593552</v>
      </c>
      <c r="BK85" s="40">
        <f>VLOOKUP(M85,[1]EconBenMult!$B$12:$D$14,2,TRUE)*(BJ85/1000000)</f>
        <v>66.685963520000001</v>
      </c>
      <c r="BL85" s="31">
        <f>VLOOKUP(M85,[1]EconBenMult!$B$12:$D$14,3,TRUE)*(BJ85/1000000)</f>
        <v>3679999.92959808</v>
      </c>
      <c r="BM85" s="40"/>
      <c r="BN85" s="40"/>
      <c r="BO85" s="40"/>
      <c r="BP85" s="40"/>
    </row>
    <row r="86" spans="1:68" s="87" customFormat="1" ht="15" customHeight="1" x14ac:dyDescent="0.2">
      <c r="A86" s="34">
        <v>42388</v>
      </c>
      <c r="B86" s="24">
        <v>2018</v>
      </c>
      <c r="C86" s="24" t="s">
        <v>181</v>
      </c>
      <c r="D86" s="25" t="s">
        <v>496</v>
      </c>
      <c r="E86" s="25" t="s">
        <v>497</v>
      </c>
      <c r="F86" s="25" t="s">
        <v>498</v>
      </c>
      <c r="G86" s="26">
        <v>59636</v>
      </c>
      <c r="H86" s="27"/>
      <c r="I86" s="27"/>
      <c r="J86" s="44" t="s">
        <v>104</v>
      </c>
      <c r="K86" s="28">
        <v>0.09</v>
      </c>
      <c r="L86" s="24" t="s">
        <v>411</v>
      </c>
      <c r="M86" s="25" t="s">
        <v>61</v>
      </c>
      <c r="N86" s="24" t="s">
        <v>62</v>
      </c>
      <c r="O86" s="29">
        <v>42</v>
      </c>
      <c r="P86" s="29">
        <v>12</v>
      </c>
      <c r="Q86" s="30">
        <v>6704660</v>
      </c>
      <c r="R86" s="30">
        <v>5832471</v>
      </c>
      <c r="S86" s="30"/>
      <c r="T86" s="30"/>
      <c r="U86" s="32"/>
      <c r="V86" s="33"/>
      <c r="W86" s="34">
        <v>43552</v>
      </c>
      <c r="X86" s="34"/>
      <c r="Y86" s="34">
        <f t="shared" si="15"/>
        <v>43552</v>
      </c>
      <c r="Z86" s="35">
        <f t="shared" si="16"/>
        <v>48666</v>
      </c>
      <c r="AA86" s="36">
        <v>35</v>
      </c>
      <c r="AB86" s="35">
        <f t="shared" si="17"/>
        <v>61450</v>
      </c>
      <c r="AC86" s="25" t="s">
        <v>499</v>
      </c>
      <c r="AD86" s="25" t="s">
        <v>500</v>
      </c>
      <c r="AE86" s="25" t="s">
        <v>501</v>
      </c>
      <c r="AF86" s="25" t="s">
        <v>502</v>
      </c>
      <c r="AG86" s="25"/>
      <c r="AH86" s="25"/>
      <c r="AI86" s="37"/>
      <c r="AJ86" s="25"/>
      <c r="AK86" s="42"/>
      <c r="AL86" s="24">
        <v>42</v>
      </c>
      <c r="AM86" s="25"/>
      <c r="AN86" s="25">
        <v>1</v>
      </c>
      <c r="AO86" s="25">
        <v>22</v>
      </c>
      <c r="AP86" s="25">
        <v>13</v>
      </c>
      <c r="AQ86" s="25">
        <v>4</v>
      </c>
      <c r="AR86" s="25">
        <v>2</v>
      </c>
      <c r="AS86" s="25"/>
      <c r="AT86" s="25"/>
      <c r="AU86" s="25"/>
      <c r="AV86" s="25"/>
      <c r="AW86" s="86"/>
      <c r="AX86" s="86"/>
      <c r="AY86" s="86"/>
      <c r="AZ86" s="86"/>
      <c r="BA86" s="86"/>
      <c r="BB86" s="86"/>
      <c r="BC86" s="86"/>
      <c r="BD86" s="86"/>
      <c r="BE86" s="86"/>
      <c r="BJ86" s="40">
        <v>12406829</v>
      </c>
      <c r="BK86" s="40">
        <f>VLOOKUP(M86,[1]EconBenMult!$B$12:$D$14,2,TRUE)*(BJ86/1000000)</f>
        <v>96.276993039999994</v>
      </c>
      <c r="BL86" s="31">
        <f>VLOOKUP(M86,[1]EconBenMult!$B$12:$D$14,3,TRUE)*(BJ86/1000000)</f>
        <v>5312952.0652851602</v>
      </c>
      <c r="BM86" s="40"/>
      <c r="BN86" s="40"/>
      <c r="BO86" s="40"/>
      <c r="BP86" s="40"/>
    </row>
    <row r="87" spans="1:68" s="87" customFormat="1" ht="15" customHeight="1" x14ac:dyDescent="0.2">
      <c r="A87" s="34">
        <v>43033</v>
      </c>
      <c r="B87" s="24">
        <v>2017</v>
      </c>
      <c r="C87" s="24" t="s">
        <v>181</v>
      </c>
      <c r="D87" s="25" t="s">
        <v>503</v>
      </c>
      <c r="E87" s="25" t="s">
        <v>504</v>
      </c>
      <c r="F87" s="25" t="s">
        <v>66</v>
      </c>
      <c r="G87" s="26">
        <v>59901</v>
      </c>
      <c r="H87" s="27">
        <v>48.196959999999997</v>
      </c>
      <c r="I87" s="27">
        <v>-114.31666</v>
      </c>
      <c r="J87" s="25" t="s">
        <v>59</v>
      </c>
      <c r="K87" s="28">
        <v>0.04</v>
      </c>
      <c r="L87" s="24" t="s">
        <v>458</v>
      </c>
      <c r="M87" s="25" t="s">
        <v>61</v>
      </c>
      <c r="N87" s="24" t="s">
        <v>75</v>
      </c>
      <c r="O87" s="29">
        <v>60</v>
      </c>
      <c r="P87" s="29">
        <v>1</v>
      </c>
      <c r="Q87" s="30">
        <v>2443870</v>
      </c>
      <c r="R87" s="30">
        <v>2394758</v>
      </c>
      <c r="S87" s="30">
        <v>4500000</v>
      </c>
      <c r="T87" s="30">
        <v>3966844</v>
      </c>
      <c r="U87" s="32">
        <v>3.85E-2</v>
      </c>
      <c r="V87" s="33">
        <v>30</v>
      </c>
      <c r="W87" s="34">
        <v>43030</v>
      </c>
      <c r="X87" s="34"/>
      <c r="Y87" s="34">
        <f t="shared" si="15"/>
        <v>43030</v>
      </c>
      <c r="Z87" s="35">
        <f t="shared" si="16"/>
        <v>48143</v>
      </c>
      <c r="AA87" s="36">
        <v>31</v>
      </c>
      <c r="AB87" s="35">
        <f t="shared" si="17"/>
        <v>59466</v>
      </c>
      <c r="AC87" s="25" t="s">
        <v>505</v>
      </c>
      <c r="AD87" s="25" t="s">
        <v>506</v>
      </c>
      <c r="AE87" s="25"/>
      <c r="AF87" s="25"/>
      <c r="AG87" s="25"/>
      <c r="AH87" s="25"/>
      <c r="AI87" s="37"/>
      <c r="AJ87" s="25"/>
      <c r="AK87" s="42"/>
      <c r="AL87" s="24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86"/>
      <c r="AX87" s="86"/>
      <c r="AY87" s="86"/>
      <c r="AZ87" s="86"/>
      <c r="BA87" s="86"/>
      <c r="BB87" s="86"/>
      <c r="BC87" s="86"/>
      <c r="BD87" s="86"/>
      <c r="BE87" s="86"/>
      <c r="BJ87" s="40">
        <v>7380051</v>
      </c>
      <c r="BK87" s="40">
        <f>VLOOKUP(M87,[1]EconBenMult!$B$12:$D$14,2,TRUE)*(BJ87/1000000)</f>
        <v>57.269195759999995</v>
      </c>
      <c r="BL87" s="31">
        <f>VLOOKUP(M87,[1]EconBenMult!$B$12:$D$14,3,TRUE)*(BJ87/1000000)</f>
        <v>3160344.7748300396</v>
      </c>
      <c r="BM87" s="40"/>
      <c r="BN87" s="40"/>
      <c r="BO87" s="40"/>
      <c r="BP87" s="40"/>
    </row>
    <row r="88" spans="1:68" s="87" customFormat="1" ht="15" customHeight="1" x14ac:dyDescent="0.2">
      <c r="A88" s="34">
        <v>42751</v>
      </c>
      <c r="B88" s="24">
        <v>2017</v>
      </c>
      <c r="C88" s="24" t="s">
        <v>181</v>
      </c>
      <c r="D88" s="25" t="s">
        <v>507</v>
      </c>
      <c r="E88" s="25" t="s">
        <v>508</v>
      </c>
      <c r="F88" s="25" t="s">
        <v>83</v>
      </c>
      <c r="G88" s="26">
        <v>59401</v>
      </c>
      <c r="H88" s="27">
        <v>47.480629999999998</v>
      </c>
      <c r="I88" s="27">
        <v>-111.26969</v>
      </c>
      <c r="J88" s="25" t="s">
        <v>509</v>
      </c>
      <c r="K88" s="28">
        <v>0.04</v>
      </c>
      <c r="L88" s="24" t="s">
        <v>458</v>
      </c>
      <c r="M88" s="25" t="s">
        <v>95</v>
      </c>
      <c r="N88" s="24" t="s">
        <v>62</v>
      </c>
      <c r="O88" s="29">
        <v>92</v>
      </c>
      <c r="P88" s="29">
        <v>4</v>
      </c>
      <c r="Q88" s="30">
        <v>7863410</v>
      </c>
      <c r="R88" s="30">
        <v>7639363</v>
      </c>
      <c r="S88" s="30">
        <v>15000000</v>
      </c>
      <c r="T88" s="30">
        <v>7896451</v>
      </c>
      <c r="U88" s="32">
        <v>4.4999999999999998E-2</v>
      </c>
      <c r="V88" s="33">
        <v>35</v>
      </c>
      <c r="W88" s="34">
        <v>43938</v>
      </c>
      <c r="X88" s="34"/>
      <c r="Y88" s="34">
        <f t="shared" si="15"/>
        <v>43938</v>
      </c>
      <c r="Z88" s="35">
        <f t="shared" si="16"/>
        <v>49051</v>
      </c>
      <c r="AA88" s="36">
        <v>31</v>
      </c>
      <c r="AB88" s="35">
        <f t="shared" si="17"/>
        <v>60374</v>
      </c>
      <c r="AC88" s="25" t="s">
        <v>510</v>
      </c>
      <c r="AD88" s="25"/>
      <c r="AE88" s="25"/>
      <c r="AF88" s="25"/>
      <c r="AG88" s="25"/>
      <c r="AH88" s="25"/>
      <c r="AI88" s="37"/>
      <c r="AJ88" s="25"/>
      <c r="AK88" s="42"/>
      <c r="AL88" s="24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86"/>
      <c r="AX88" s="86"/>
      <c r="AY88" s="86"/>
      <c r="AZ88" s="86"/>
      <c r="BA88" s="86"/>
      <c r="BB88" s="86"/>
      <c r="BC88" s="86"/>
      <c r="BD88" s="86"/>
      <c r="BE88" s="86"/>
      <c r="BJ88" s="40">
        <v>17924755</v>
      </c>
      <c r="BK88" s="40">
        <f>VLOOKUP(M88,[1]EconBenMult!$B$12:$D$14,2,TRUE)*(BJ88/1000000)</f>
        <v>215.63480265000001</v>
      </c>
      <c r="BL88" s="31">
        <f>VLOOKUP(M88,[1]EconBenMult!$B$12:$D$14,3,TRUE)*(BJ88/1000000)</f>
        <v>12533505.825181751</v>
      </c>
      <c r="BM88" s="40"/>
      <c r="BN88" s="40"/>
      <c r="BO88" s="40"/>
      <c r="BP88" s="40"/>
    </row>
    <row r="89" spans="1:68" s="87" customFormat="1" ht="15" customHeight="1" x14ac:dyDescent="0.2">
      <c r="A89" s="34">
        <v>42758</v>
      </c>
      <c r="B89" s="24">
        <v>2017</v>
      </c>
      <c r="C89" s="24" t="s">
        <v>181</v>
      </c>
      <c r="D89" s="25" t="s">
        <v>511</v>
      </c>
      <c r="E89" s="25" t="s">
        <v>508</v>
      </c>
      <c r="F89" s="25" t="s">
        <v>83</v>
      </c>
      <c r="G89" s="26">
        <v>59401</v>
      </c>
      <c r="H89" s="27">
        <v>47.480629999999998</v>
      </c>
      <c r="I89" s="27">
        <v>-111.26969</v>
      </c>
      <c r="J89" s="25" t="s">
        <v>509</v>
      </c>
      <c r="K89" s="28">
        <v>0.09</v>
      </c>
      <c r="L89" s="24" t="s">
        <v>458</v>
      </c>
      <c r="M89" s="25" t="s">
        <v>95</v>
      </c>
      <c r="N89" s="24" t="s">
        <v>62</v>
      </c>
      <c r="O89" s="29">
        <v>32</v>
      </c>
      <c r="P89" s="29">
        <v>3</v>
      </c>
      <c r="Q89" s="30">
        <v>6775000</v>
      </c>
      <c r="R89" s="30">
        <v>5536092</v>
      </c>
      <c r="S89" s="30"/>
      <c r="T89" s="30"/>
      <c r="U89" s="32"/>
      <c r="V89" s="33"/>
      <c r="W89" s="34">
        <v>43830</v>
      </c>
      <c r="X89" s="34"/>
      <c r="Y89" s="34">
        <f t="shared" si="15"/>
        <v>43830</v>
      </c>
      <c r="Z89" s="35">
        <f t="shared" si="16"/>
        <v>48944</v>
      </c>
      <c r="AA89" s="36">
        <v>31</v>
      </c>
      <c r="AB89" s="35">
        <f t="shared" si="17"/>
        <v>60267</v>
      </c>
      <c r="AC89" s="25" t="s">
        <v>512</v>
      </c>
      <c r="AD89" s="25" t="s">
        <v>513</v>
      </c>
      <c r="AE89" s="25" t="s">
        <v>514</v>
      </c>
      <c r="AF89" s="25" t="s">
        <v>471</v>
      </c>
      <c r="AG89" s="25"/>
      <c r="AH89" s="25"/>
      <c r="AI89" s="37"/>
      <c r="AJ89" s="25"/>
      <c r="AK89" s="42"/>
      <c r="AL89" s="24">
        <v>124</v>
      </c>
      <c r="AM89" s="25"/>
      <c r="AN89" s="25"/>
      <c r="AO89" s="25">
        <v>60</v>
      </c>
      <c r="AP89" s="25">
        <v>38</v>
      </c>
      <c r="AQ89" s="25">
        <v>26</v>
      </c>
      <c r="AR89" s="25"/>
      <c r="AS89" s="25"/>
      <c r="AT89" s="25"/>
      <c r="AU89" s="25"/>
      <c r="AV89" s="25"/>
      <c r="AW89" s="86"/>
      <c r="AX89" s="86"/>
      <c r="AY89" s="86"/>
      <c r="AZ89" s="86"/>
      <c r="BA89" s="86"/>
      <c r="BB89" s="86"/>
      <c r="BC89" s="86"/>
      <c r="BD89" s="86"/>
      <c r="BE89" s="86"/>
      <c r="BJ89" s="40">
        <v>7061263</v>
      </c>
      <c r="BK89" s="40">
        <f>VLOOKUP(M89,[1]EconBenMult!$B$12:$D$14,2,TRUE)*(BJ89/1000000)</f>
        <v>84.946993890000002</v>
      </c>
      <c r="BL89" s="31">
        <f>VLOOKUP(M89,[1]EconBenMult!$B$12:$D$14,3,TRUE)*(BJ89/1000000)</f>
        <v>4937438.80703755</v>
      </c>
      <c r="BM89" s="40"/>
      <c r="BN89" s="40"/>
      <c r="BO89" s="40"/>
      <c r="BP89" s="40"/>
    </row>
    <row r="90" spans="1:68" ht="15" customHeight="1" x14ac:dyDescent="0.2">
      <c r="A90" s="34">
        <v>42758</v>
      </c>
      <c r="B90" s="24">
        <v>2017</v>
      </c>
      <c r="C90" s="24" t="s">
        <v>181</v>
      </c>
      <c r="D90" s="25" t="s">
        <v>515</v>
      </c>
      <c r="E90" s="25" t="s">
        <v>516</v>
      </c>
      <c r="F90" s="25" t="s">
        <v>517</v>
      </c>
      <c r="G90" s="26">
        <v>59417</v>
      </c>
      <c r="J90" s="25" t="s">
        <v>518</v>
      </c>
      <c r="K90" s="28">
        <v>0.09</v>
      </c>
      <c r="L90" s="24" t="s">
        <v>188</v>
      </c>
      <c r="M90" s="25" t="s">
        <v>95</v>
      </c>
      <c r="N90" s="24" t="s">
        <v>62</v>
      </c>
      <c r="O90" s="29">
        <v>30</v>
      </c>
      <c r="P90" s="29">
        <v>30</v>
      </c>
      <c r="Q90" s="30">
        <v>6775000</v>
      </c>
      <c r="R90" s="30">
        <v>5727690</v>
      </c>
      <c r="S90" s="30"/>
      <c r="T90" s="30"/>
      <c r="W90" s="34">
        <v>43497</v>
      </c>
      <c r="Y90" s="34">
        <f t="shared" si="15"/>
        <v>43497</v>
      </c>
      <c r="Z90" s="35">
        <f t="shared" si="16"/>
        <v>48611</v>
      </c>
      <c r="AA90" s="36">
        <v>31</v>
      </c>
      <c r="AB90" s="35">
        <f t="shared" si="17"/>
        <v>59933</v>
      </c>
      <c r="AC90" s="25" t="s">
        <v>519</v>
      </c>
      <c r="AD90" s="25" t="s">
        <v>520</v>
      </c>
      <c r="AE90" s="25" t="s">
        <v>521</v>
      </c>
      <c r="AF90" s="25" t="s">
        <v>522</v>
      </c>
      <c r="AI90" s="37"/>
      <c r="AL90" s="24">
        <v>30</v>
      </c>
      <c r="AQ90" s="25">
        <v>20</v>
      </c>
      <c r="AR90" s="25">
        <v>10</v>
      </c>
      <c r="BJ90" s="40">
        <v>6895539</v>
      </c>
      <c r="BK90" s="40">
        <f>VLOOKUP(M90,[1]EconBenMult!$B$12:$D$14,2,TRUE)*(BJ90/1000000)</f>
        <v>82.953334170000005</v>
      </c>
      <c r="BL90" s="31">
        <f>VLOOKUP(M90,[1]EconBenMult!$B$12:$D$14,3,TRUE)*(BJ90/1000000)</f>
        <v>4821559.8051001504</v>
      </c>
    </row>
    <row r="91" spans="1:68" ht="15" customHeight="1" x14ac:dyDescent="0.2">
      <c r="A91" s="34">
        <v>42758</v>
      </c>
      <c r="B91" s="24">
        <v>2017</v>
      </c>
      <c r="C91" s="24" t="s">
        <v>181</v>
      </c>
      <c r="D91" s="25" t="s">
        <v>523</v>
      </c>
      <c r="E91" s="25" t="s">
        <v>524</v>
      </c>
      <c r="F91" s="25" t="s">
        <v>525</v>
      </c>
      <c r="G91" s="26">
        <v>59860</v>
      </c>
      <c r="J91" s="25" t="s">
        <v>526</v>
      </c>
      <c r="K91" s="28">
        <v>0.09</v>
      </c>
      <c r="L91" s="24" t="s">
        <v>458</v>
      </c>
      <c r="M91" s="25" t="s">
        <v>95</v>
      </c>
      <c r="N91" s="24" t="s">
        <v>62</v>
      </c>
      <c r="O91" s="29">
        <v>35</v>
      </c>
      <c r="P91" s="29">
        <v>3</v>
      </c>
      <c r="Q91" s="30">
        <v>6765000</v>
      </c>
      <c r="R91" s="30">
        <v>6020248</v>
      </c>
      <c r="S91" s="30"/>
      <c r="T91" s="30"/>
      <c r="W91" s="34">
        <v>43084</v>
      </c>
      <c r="Y91" s="34">
        <f t="shared" si="15"/>
        <v>43084</v>
      </c>
      <c r="Z91" s="35">
        <f t="shared" si="16"/>
        <v>48197</v>
      </c>
      <c r="AA91" s="36">
        <v>31</v>
      </c>
      <c r="AB91" s="35">
        <f t="shared" si="17"/>
        <v>59520</v>
      </c>
      <c r="AC91" s="25" t="s">
        <v>527</v>
      </c>
      <c r="AD91" s="25" t="s">
        <v>528</v>
      </c>
      <c r="AE91" s="25" t="s">
        <v>123</v>
      </c>
      <c r="AF91" s="25" t="s">
        <v>529</v>
      </c>
      <c r="AI91" s="37"/>
      <c r="AL91" s="24">
        <v>35</v>
      </c>
      <c r="AO91" s="25">
        <v>3</v>
      </c>
      <c r="AP91" s="25">
        <v>19</v>
      </c>
      <c r="AQ91" s="25">
        <v>13</v>
      </c>
      <c r="BJ91" s="40">
        <v>6944325</v>
      </c>
      <c r="BK91" s="40">
        <f>VLOOKUP(M91,[1]EconBenMult!$B$12:$D$14,2,TRUE)*(BJ91/1000000)</f>
        <v>83.540229749999995</v>
      </c>
      <c r="BL91" s="31">
        <f>VLOOKUP(M91,[1]EconBenMult!$B$12:$D$14,3,TRUE)*(BJ91/1000000)</f>
        <v>4855672.3837762503</v>
      </c>
    </row>
    <row r="92" spans="1:68" ht="15" customHeight="1" x14ac:dyDescent="0.2">
      <c r="A92" s="34">
        <v>42758</v>
      </c>
      <c r="B92" s="24">
        <v>2017</v>
      </c>
      <c r="C92" s="24" t="s">
        <v>181</v>
      </c>
      <c r="D92" s="25" t="s">
        <v>530</v>
      </c>
      <c r="E92" s="25" t="s">
        <v>531</v>
      </c>
      <c r="F92" s="25" t="s">
        <v>113</v>
      </c>
      <c r="G92" s="26">
        <v>59101</v>
      </c>
      <c r="J92" s="25" t="s">
        <v>114</v>
      </c>
      <c r="K92" s="28">
        <v>0.09</v>
      </c>
      <c r="L92" s="24" t="s">
        <v>239</v>
      </c>
      <c r="M92" s="25" t="s">
        <v>95</v>
      </c>
      <c r="N92" s="24" t="s">
        <v>62</v>
      </c>
      <c r="O92" s="29">
        <v>24</v>
      </c>
      <c r="P92" s="29">
        <v>1</v>
      </c>
      <c r="Q92" s="30">
        <v>4176140</v>
      </c>
      <c r="R92" s="30">
        <v>3549364</v>
      </c>
      <c r="S92" s="30"/>
      <c r="T92" s="30"/>
      <c r="W92" s="34">
        <v>43294</v>
      </c>
      <c r="Y92" s="34">
        <f t="shared" si="15"/>
        <v>43294</v>
      </c>
      <c r="Z92" s="35">
        <f t="shared" si="16"/>
        <v>48408</v>
      </c>
      <c r="AA92" s="36">
        <v>31</v>
      </c>
      <c r="AB92" s="35">
        <f t="shared" si="17"/>
        <v>59730</v>
      </c>
      <c r="AC92" s="25" t="s">
        <v>532</v>
      </c>
      <c r="AD92" s="25" t="s">
        <v>533</v>
      </c>
      <c r="AE92" s="25" t="s">
        <v>534</v>
      </c>
      <c r="AF92" s="25" t="s">
        <v>535</v>
      </c>
      <c r="AI92" s="37"/>
      <c r="AL92" s="24">
        <v>24</v>
      </c>
      <c r="AO92" s="25">
        <v>11</v>
      </c>
      <c r="AP92" s="25">
        <v>13</v>
      </c>
      <c r="BJ92" s="40">
        <v>4647521</v>
      </c>
      <c r="BK92" s="40">
        <f>VLOOKUP(M92,[1]EconBenMult!$B$12:$D$14,2,TRUE)*(BJ92/1000000)</f>
        <v>55.909677629999997</v>
      </c>
      <c r="BL92" s="31">
        <f>VLOOKUP(M92,[1]EconBenMult!$B$12:$D$14,3,TRUE)*(BJ92/1000000)</f>
        <v>3249680.7641808502</v>
      </c>
    </row>
    <row r="93" spans="1:68" ht="15" customHeight="1" x14ac:dyDescent="0.2">
      <c r="A93" s="82">
        <v>42758</v>
      </c>
      <c r="B93" s="60">
        <v>2017</v>
      </c>
      <c r="C93" s="60" t="s">
        <v>181</v>
      </c>
      <c r="D93" s="62" t="s">
        <v>536</v>
      </c>
      <c r="E93" s="62" t="s">
        <v>455</v>
      </c>
      <c r="F93" s="62" t="s">
        <v>456</v>
      </c>
      <c r="G93" s="63">
        <v>59218</v>
      </c>
      <c r="H93" s="64"/>
      <c r="I93" s="64"/>
      <c r="J93" s="62" t="s">
        <v>457</v>
      </c>
      <c r="K93" s="83">
        <v>0.09</v>
      </c>
      <c r="L93" s="60" t="s">
        <v>458</v>
      </c>
      <c r="M93" s="62" t="s">
        <v>61</v>
      </c>
      <c r="N93" s="60" t="s">
        <v>62</v>
      </c>
      <c r="O93" s="68" t="s">
        <v>537</v>
      </c>
      <c r="P93" s="68"/>
      <c r="Q93" s="69">
        <v>2722170</v>
      </c>
      <c r="R93" s="69">
        <v>2372000</v>
      </c>
      <c r="S93" s="69"/>
      <c r="T93" s="69"/>
      <c r="U93" s="71"/>
      <c r="V93" s="72"/>
      <c r="W93" s="34">
        <v>43586</v>
      </c>
      <c r="Y93" s="34">
        <f t="shared" ref="Y93:Y156" si="25">IF(W93&gt;X93,W93,X93)</f>
        <v>43586</v>
      </c>
      <c r="Z93" s="35">
        <f t="shared" ref="Z93:Z155" si="26">DATE(YEAR(Y93)+14,MONTH(Y93),DAY(Y93))</f>
        <v>48700</v>
      </c>
      <c r="AA93" s="84">
        <v>31</v>
      </c>
      <c r="AB93" s="35">
        <f t="shared" ref="AB93:AB119" si="27">DATE(YEAR(Z93)+AA93,MONTH(Z93),DAY(Z93))</f>
        <v>60023</v>
      </c>
      <c r="AC93" s="62" t="s">
        <v>459</v>
      </c>
      <c r="AD93" s="62" t="s">
        <v>116</v>
      </c>
      <c r="AE93" s="62" t="s">
        <v>227</v>
      </c>
      <c r="AF93" s="62" t="s">
        <v>460</v>
      </c>
      <c r="AG93" s="62"/>
      <c r="AH93" s="62"/>
      <c r="AI93" s="37"/>
      <c r="AJ93" s="62"/>
      <c r="AK93" s="85"/>
      <c r="AL93" s="60">
        <v>16</v>
      </c>
      <c r="AM93" s="62"/>
      <c r="AN93" s="62"/>
      <c r="AO93" s="62">
        <v>8</v>
      </c>
      <c r="AP93" s="62">
        <v>8</v>
      </c>
      <c r="AQ93" s="62"/>
      <c r="AR93" s="62"/>
      <c r="AS93" s="62"/>
      <c r="AT93" s="62"/>
      <c r="AU93" s="62"/>
      <c r="AV93" s="62"/>
      <c r="BK93" s="40">
        <f>VLOOKUP(M93,[1]EconBenMult!$B$12:$D$14,2,TRUE)*(BJ93/1000000)</f>
        <v>0</v>
      </c>
      <c r="BL93" s="31">
        <f>VLOOKUP(M93,[1]EconBenMult!$B$12:$D$14,3,TRUE)*(BJ93/1000000)</f>
        <v>0</v>
      </c>
    </row>
    <row r="94" spans="1:68" ht="15" customHeight="1" x14ac:dyDescent="0.2">
      <c r="A94" s="34">
        <v>42705</v>
      </c>
      <c r="B94" s="24">
        <v>2016</v>
      </c>
      <c r="C94" s="24" t="s">
        <v>181</v>
      </c>
      <c r="D94" s="25" t="s">
        <v>538</v>
      </c>
      <c r="E94" s="25" t="s">
        <v>539</v>
      </c>
      <c r="F94" s="25" t="s">
        <v>83</v>
      </c>
      <c r="G94" s="26">
        <v>59401</v>
      </c>
      <c r="H94" s="27">
        <v>47.492609999999999</v>
      </c>
      <c r="I94" s="27">
        <v>-111.25169</v>
      </c>
      <c r="J94" s="25" t="s">
        <v>84</v>
      </c>
      <c r="K94" s="28">
        <v>0.04</v>
      </c>
      <c r="L94" s="24" t="s">
        <v>411</v>
      </c>
      <c r="M94" s="25" t="s">
        <v>61</v>
      </c>
      <c r="N94" s="24" t="s">
        <v>62</v>
      </c>
      <c r="O94" s="29">
        <v>96</v>
      </c>
      <c r="P94" s="29">
        <v>8</v>
      </c>
      <c r="Q94" s="30">
        <v>4453030</v>
      </c>
      <c r="R94" s="30">
        <v>4355494</v>
      </c>
      <c r="S94" s="30">
        <v>7500000</v>
      </c>
      <c r="T94" s="30">
        <v>8353000</v>
      </c>
      <c r="U94" s="32">
        <v>3.5000000000000003E-2</v>
      </c>
      <c r="V94" s="33">
        <v>40</v>
      </c>
      <c r="W94" s="34">
        <v>43100</v>
      </c>
      <c r="Y94" s="34">
        <f t="shared" si="25"/>
        <v>43100</v>
      </c>
      <c r="Z94" s="35">
        <f t="shared" si="26"/>
        <v>48213</v>
      </c>
      <c r="AA94" s="36">
        <v>15</v>
      </c>
      <c r="AB94" s="35">
        <f t="shared" si="27"/>
        <v>53692</v>
      </c>
      <c r="AC94" s="25" t="s">
        <v>540</v>
      </c>
      <c r="AI94" s="37"/>
      <c r="BJ94" s="40">
        <v>14109697</v>
      </c>
      <c r="BK94" s="40">
        <f>VLOOKUP(M94,[1]EconBenMult!$B$12:$D$14,2,TRUE)*(BJ94/1000000)</f>
        <v>109.49124872</v>
      </c>
      <c r="BL94" s="31">
        <f>VLOOKUP(M94,[1]EconBenMult!$B$12:$D$14,3,TRUE)*(BJ94/1000000)</f>
        <v>6042167.8913038801</v>
      </c>
    </row>
    <row r="95" spans="1:68" ht="15" customHeight="1" x14ac:dyDescent="0.2">
      <c r="A95" s="34">
        <v>42388</v>
      </c>
      <c r="B95" s="24">
        <v>2016</v>
      </c>
      <c r="C95" s="24" t="s">
        <v>181</v>
      </c>
      <c r="D95" s="25" t="s">
        <v>541</v>
      </c>
      <c r="E95" s="25" t="s">
        <v>542</v>
      </c>
      <c r="F95" s="25" t="s">
        <v>72</v>
      </c>
      <c r="G95" s="26">
        <v>59840</v>
      </c>
      <c r="H95" s="27">
        <v>46.249890000000001</v>
      </c>
      <c r="I95" s="27">
        <v>-114.16888</v>
      </c>
      <c r="J95" s="25" t="s">
        <v>73</v>
      </c>
      <c r="K95" s="28">
        <v>0.09</v>
      </c>
      <c r="L95" s="24" t="s">
        <v>411</v>
      </c>
      <c r="M95" s="25" t="s">
        <v>61</v>
      </c>
      <c r="N95" s="24" t="s">
        <v>62</v>
      </c>
      <c r="O95" s="29">
        <v>34</v>
      </c>
      <c r="P95" s="29">
        <v>3</v>
      </c>
      <c r="Q95" s="30">
        <v>5603920</v>
      </c>
      <c r="R95" s="30">
        <v>5211124</v>
      </c>
      <c r="S95" s="30"/>
      <c r="T95" s="30"/>
      <c r="W95" s="34">
        <v>42716</v>
      </c>
      <c r="Y95" s="34">
        <f t="shared" si="25"/>
        <v>42716</v>
      </c>
      <c r="Z95" s="35">
        <f t="shared" si="26"/>
        <v>47829</v>
      </c>
      <c r="AA95" s="36">
        <v>31</v>
      </c>
      <c r="AB95" s="35">
        <f t="shared" si="27"/>
        <v>59152</v>
      </c>
      <c r="AC95" s="25" t="s">
        <v>148</v>
      </c>
      <c r="AD95" s="25" t="s">
        <v>543</v>
      </c>
      <c r="AE95" s="25" t="s">
        <v>150</v>
      </c>
      <c r="AF95" s="25" t="s">
        <v>460</v>
      </c>
      <c r="AI95" s="37"/>
      <c r="AL95" s="24">
        <v>34</v>
      </c>
      <c r="AO95" s="25">
        <v>8</v>
      </c>
      <c r="AP95" s="25">
        <v>26</v>
      </c>
      <c r="BJ95" s="40">
        <v>6652867</v>
      </c>
      <c r="BK95" s="40">
        <f>VLOOKUP(M95,[1]EconBenMult!$B$12:$D$14,2,TRUE)*(BJ95/1000000)</f>
        <v>51.626247919999997</v>
      </c>
      <c r="BL95" s="31">
        <f>VLOOKUP(M95,[1]EconBenMult!$B$12:$D$14,3,TRUE)*(BJ95/1000000)</f>
        <v>2848944.1957906797</v>
      </c>
    </row>
    <row r="96" spans="1:68" ht="15" customHeight="1" x14ac:dyDescent="0.2">
      <c r="A96" s="34">
        <v>42388</v>
      </c>
      <c r="B96" s="24">
        <v>2016</v>
      </c>
      <c r="C96" s="24" t="s">
        <v>181</v>
      </c>
      <c r="D96" s="25" t="s">
        <v>544</v>
      </c>
      <c r="E96" s="25" t="s">
        <v>545</v>
      </c>
      <c r="F96" s="25" t="s">
        <v>113</v>
      </c>
      <c r="G96" s="26">
        <v>59101</v>
      </c>
      <c r="J96" s="25" t="s">
        <v>114</v>
      </c>
      <c r="K96" s="28">
        <v>0.09</v>
      </c>
      <c r="L96" s="24" t="s">
        <v>411</v>
      </c>
      <c r="M96" s="25" t="s">
        <v>95</v>
      </c>
      <c r="N96" s="24" t="s">
        <v>62</v>
      </c>
      <c r="O96" s="29">
        <v>30</v>
      </c>
      <c r="P96" s="29">
        <v>8</v>
      </c>
      <c r="Q96" s="30">
        <v>3395880</v>
      </c>
      <c r="R96" s="30">
        <v>3497407</v>
      </c>
      <c r="S96" s="30"/>
      <c r="T96" s="30"/>
      <c r="W96" s="34">
        <v>43270</v>
      </c>
      <c r="Y96" s="34">
        <f t="shared" si="25"/>
        <v>43270</v>
      </c>
      <c r="Z96" s="35">
        <f t="shared" si="26"/>
        <v>48384</v>
      </c>
      <c r="AA96" s="36">
        <v>32</v>
      </c>
      <c r="AB96" s="35">
        <f t="shared" si="27"/>
        <v>60072</v>
      </c>
      <c r="AC96" s="25" t="s">
        <v>546</v>
      </c>
      <c r="AD96" s="25" t="s">
        <v>547</v>
      </c>
      <c r="AE96" s="25" t="s">
        <v>548</v>
      </c>
      <c r="AF96" s="25" t="s">
        <v>535</v>
      </c>
      <c r="AI96" s="37"/>
      <c r="AL96" s="24">
        <v>30</v>
      </c>
      <c r="AO96" s="25">
        <v>15</v>
      </c>
      <c r="AP96" s="25">
        <v>15</v>
      </c>
      <c r="BJ96" s="40">
        <v>6026028</v>
      </c>
      <c r="BK96" s="40">
        <f>VLOOKUP(M96,[1]EconBenMult!$B$12:$D$14,2,TRUE)*(BJ96/1000000)</f>
        <v>72.493116839999999</v>
      </c>
      <c r="BL96" s="31">
        <f>VLOOKUP(M96,[1]EconBenMult!$B$12:$D$14,3,TRUE)*(BJ96/1000000)</f>
        <v>4213572.6285078004</v>
      </c>
    </row>
    <row r="97" spans="1:68" ht="15" customHeight="1" x14ac:dyDescent="0.2">
      <c r="A97" s="82">
        <v>42388</v>
      </c>
      <c r="B97" s="60">
        <v>2016</v>
      </c>
      <c r="C97" s="60" t="s">
        <v>181</v>
      </c>
      <c r="D97" s="62" t="s">
        <v>549</v>
      </c>
      <c r="E97" s="62" t="s">
        <v>462</v>
      </c>
      <c r="F97" s="62" t="s">
        <v>463</v>
      </c>
      <c r="G97" s="63">
        <v>59201</v>
      </c>
      <c r="H97" s="64">
        <v>48.102020000000003</v>
      </c>
      <c r="I97" s="64">
        <v>-105.64167999999999</v>
      </c>
      <c r="J97" s="62" t="s">
        <v>464</v>
      </c>
      <c r="K97" s="83">
        <v>0.09</v>
      </c>
      <c r="L97" s="60" t="s">
        <v>411</v>
      </c>
      <c r="M97" s="62" t="s">
        <v>95</v>
      </c>
      <c r="N97" s="60" t="s">
        <v>62</v>
      </c>
      <c r="O97" s="68" t="s">
        <v>537</v>
      </c>
      <c r="P97" s="68"/>
      <c r="Q97" s="69">
        <f>5570420</f>
        <v>5570420</v>
      </c>
      <c r="R97" s="69">
        <v>5012877</v>
      </c>
      <c r="S97" s="69"/>
      <c r="T97" s="69"/>
      <c r="U97" s="71"/>
      <c r="V97" s="72"/>
      <c r="W97" s="34">
        <v>43061</v>
      </c>
      <c r="Y97" s="34">
        <f t="shared" si="25"/>
        <v>43061</v>
      </c>
      <c r="Z97" s="35">
        <f t="shared" si="26"/>
        <v>48174</v>
      </c>
      <c r="AA97" s="84">
        <v>31</v>
      </c>
      <c r="AB97" s="35">
        <f t="shared" si="27"/>
        <v>59497</v>
      </c>
      <c r="AC97" s="62" t="s">
        <v>465</v>
      </c>
      <c r="AD97" s="62" t="s">
        <v>116</v>
      </c>
      <c r="AE97" s="62" t="s">
        <v>227</v>
      </c>
      <c r="AF97" s="62" t="s">
        <v>460</v>
      </c>
      <c r="AG97" s="62"/>
      <c r="AH97" s="62"/>
      <c r="AI97" s="37"/>
      <c r="AJ97" s="62"/>
      <c r="AK97" s="85"/>
      <c r="AL97" s="60">
        <v>28</v>
      </c>
      <c r="AM97" s="62"/>
      <c r="AN97" s="62"/>
      <c r="AO97" s="62">
        <v>8</v>
      </c>
      <c r="AP97" s="62">
        <v>12</v>
      </c>
      <c r="AQ97" s="62">
        <v>8</v>
      </c>
      <c r="AR97" s="62"/>
      <c r="AS97" s="62"/>
      <c r="AT97" s="62"/>
      <c r="AU97" s="62"/>
      <c r="AV97" s="62"/>
      <c r="BJ97" s="40">
        <v>6385217</v>
      </c>
      <c r="BK97" s="40">
        <f>VLOOKUP(M97,[1]EconBenMult!$B$12:$D$14,2,TRUE)*(BJ97/1000000)</f>
        <v>76.814160509999994</v>
      </c>
      <c r="BL97" s="31">
        <f>VLOOKUP(M97,[1]EconBenMult!$B$12:$D$14,3,TRUE)*(BJ97/1000000)</f>
        <v>4464727.93991045</v>
      </c>
    </row>
    <row r="98" spans="1:68" ht="15" customHeight="1" x14ac:dyDescent="0.2">
      <c r="A98" s="34">
        <v>42388</v>
      </c>
      <c r="B98" s="24">
        <v>2016</v>
      </c>
      <c r="C98" s="24" t="s">
        <v>181</v>
      </c>
      <c r="D98" s="25" t="s">
        <v>550</v>
      </c>
      <c r="E98" s="25" t="s">
        <v>551</v>
      </c>
      <c r="F98" s="25" t="s">
        <v>58</v>
      </c>
      <c r="G98" s="26">
        <v>59911</v>
      </c>
      <c r="J98" s="25" t="s">
        <v>59</v>
      </c>
      <c r="K98" s="28">
        <v>0.09</v>
      </c>
      <c r="L98" s="24" t="s">
        <v>239</v>
      </c>
      <c r="M98" s="25" t="s">
        <v>61</v>
      </c>
      <c r="N98" s="24" t="s">
        <v>62</v>
      </c>
      <c r="O98" s="29">
        <v>31</v>
      </c>
      <c r="P98" s="29">
        <v>3</v>
      </c>
      <c r="Q98" s="30">
        <v>2625390</v>
      </c>
      <c r="R98" s="30">
        <v>2573396</v>
      </c>
      <c r="S98" s="30"/>
      <c r="T98" s="30"/>
      <c r="W98" s="34">
        <v>42782</v>
      </c>
      <c r="Y98" s="34">
        <f t="shared" si="25"/>
        <v>42782</v>
      </c>
      <c r="Z98" s="35">
        <f t="shared" si="26"/>
        <v>47895</v>
      </c>
      <c r="AA98" s="36">
        <v>31</v>
      </c>
      <c r="AB98" s="35">
        <f t="shared" si="27"/>
        <v>59218</v>
      </c>
      <c r="AC98" s="25" t="s">
        <v>552</v>
      </c>
      <c r="AD98" s="25" t="s">
        <v>553</v>
      </c>
      <c r="AE98" s="25" t="s">
        <v>554</v>
      </c>
      <c r="AF98" s="25" t="s">
        <v>555</v>
      </c>
      <c r="AI98" s="37"/>
      <c r="AL98" s="24">
        <v>31</v>
      </c>
      <c r="AO98" s="25">
        <v>8</v>
      </c>
      <c r="AP98" s="25">
        <v>20</v>
      </c>
      <c r="AQ98" s="25">
        <v>3</v>
      </c>
      <c r="BJ98" s="40">
        <v>4082561</v>
      </c>
      <c r="BK98" s="40">
        <f>VLOOKUP(M98,[1]EconBenMult!$B$12:$D$14,2,TRUE)*(BJ98/1000000)</f>
        <v>31.68067336</v>
      </c>
      <c r="BL98" s="31">
        <f>VLOOKUP(M98,[1]EconBenMult!$B$12:$D$14,3,TRUE)*(BJ98/1000000)</f>
        <v>1748267.09521044</v>
      </c>
    </row>
    <row r="99" spans="1:68" ht="15" customHeight="1" x14ac:dyDescent="0.2">
      <c r="A99" s="89">
        <v>42388</v>
      </c>
      <c r="B99" s="86">
        <v>2016</v>
      </c>
      <c r="C99" s="86" t="s">
        <v>556</v>
      </c>
      <c r="D99" s="87" t="s">
        <v>557</v>
      </c>
      <c r="E99" s="87" t="s">
        <v>497</v>
      </c>
      <c r="F99" s="87" t="s">
        <v>498</v>
      </c>
      <c r="G99" s="90">
        <v>59636</v>
      </c>
      <c r="H99" s="91"/>
      <c r="I99" s="91"/>
      <c r="J99" s="92" t="s">
        <v>104</v>
      </c>
      <c r="K99" s="93">
        <v>0.09</v>
      </c>
      <c r="L99" s="86" t="s">
        <v>411</v>
      </c>
      <c r="M99" s="87" t="s">
        <v>61</v>
      </c>
      <c r="N99" s="86" t="s">
        <v>62</v>
      </c>
      <c r="O99" s="94">
        <v>42</v>
      </c>
      <c r="P99" s="94">
        <v>12</v>
      </c>
      <c r="Q99" s="95">
        <v>6704660</v>
      </c>
      <c r="R99" s="95">
        <v>5843724</v>
      </c>
      <c r="S99" s="95"/>
      <c r="T99" s="95"/>
      <c r="U99" s="96"/>
      <c r="V99" s="97"/>
      <c r="W99" s="34">
        <v>2019</v>
      </c>
      <c r="Y99" s="34">
        <f t="shared" si="25"/>
        <v>2019</v>
      </c>
      <c r="Z99" s="35">
        <f t="shared" si="26"/>
        <v>7132</v>
      </c>
      <c r="AA99" s="99">
        <v>15</v>
      </c>
      <c r="AB99" s="35">
        <f t="shared" si="27"/>
        <v>12611</v>
      </c>
      <c r="AC99" s="87" t="s">
        <v>499</v>
      </c>
      <c r="AD99" s="87" t="s">
        <v>500</v>
      </c>
      <c r="AE99" s="87" t="s">
        <v>501</v>
      </c>
      <c r="AF99" s="87" t="s">
        <v>502</v>
      </c>
      <c r="AG99" s="87"/>
      <c r="AH99" s="87"/>
      <c r="AI99" s="37"/>
      <c r="AJ99" s="87"/>
      <c r="AK99" s="100"/>
      <c r="AL99" s="86">
        <v>42</v>
      </c>
      <c r="AM99" s="87"/>
      <c r="AN99" s="87">
        <v>1</v>
      </c>
      <c r="AO99" s="87">
        <v>22</v>
      </c>
      <c r="AP99" s="87">
        <v>13</v>
      </c>
      <c r="AQ99" s="87">
        <v>4</v>
      </c>
      <c r="AR99" s="87">
        <v>2</v>
      </c>
      <c r="AS99" s="87"/>
      <c r="AT99" s="87"/>
      <c r="AU99" s="87"/>
      <c r="AV99" s="87"/>
      <c r="BJ99" s="40">
        <v>11960772</v>
      </c>
      <c r="BK99" s="40">
        <f>VLOOKUP(M99,[1]EconBenMult!$B$12:$D$14,2,TRUE)*(BJ99/1000000)</f>
        <v>92.815590720000003</v>
      </c>
      <c r="BL99" s="31">
        <f>VLOOKUP(M99,[1]EconBenMult!$B$12:$D$14,3,TRUE)*(BJ99/1000000)</f>
        <v>5121937.9504468795</v>
      </c>
    </row>
    <row r="100" spans="1:68" s="62" customFormat="1" ht="15" customHeight="1" x14ac:dyDescent="0.2">
      <c r="A100" s="82">
        <v>42388</v>
      </c>
      <c r="B100" s="60">
        <v>2016</v>
      </c>
      <c r="C100" s="60" t="s">
        <v>181</v>
      </c>
      <c r="D100" s="62" t="s">
        <v>559</v>
      </c>
      <c r="E100" s="62" t="s">
        <v>560</v>
      </c>
      <c r="F100" s="62" t="s">
        <v>83</v>
      </c>
      <c r="G100" s="63">
        <v>59405</v>
      </c>
      <c r="H100" s="64"/>
      <c r="I100" s="64"/>
      <c r="J100" s="62" t="s">
        <v>84</v>
      </c>
      <c r="K100" s="83">
        <v>0.09</v>
      </c>
      <c r="L100" s="60" t="s">
        <v>239</v>
      </c>
      <c r="M100" s="62" t="s">
        <v>95</v>
      </c>
      <c r="N100" s="60" t="s">
        <v>561</v>
      </c>
      <c r="O100" s="68"/>
      <c r="P100" s="68">
        <v>1</v>
      </c>
      <c r="Q100" s="69">
        <v>319730</v>
      </c>
      <c r="R100" s="69">
        <v>290925</v>
      </c>
      <c r="S100" s="69"/>
      <c r="T100" s="69"/>
      <c r="U100" s="71"/>
      <c r="V100" s="72"/>
      <c r="W100" s="82">
        <v>42577</v>
      </c>
      <c r="X100" s="82"/>
      <c r="Y100" s="34">
        <f t="shared" si="25"/>
        <v>42577</v>
      </c>
      <c r="Z100" s="35">
        <f t="shared" si="26"/>
        <v>47690</v>
      </c>
      <c r="AA100" s="84">
        <v>31</v>
      </c>
      <c r="AB100" s="75">
        <f t="shared" si="27"/>
        <v>59013</v>
      </c>
      <c r="AC100" s="62" t="s">
        <v>562</v>
      </c>
      <c r="AD100" s="62" t="s">
        <v>563</v>
      </c>
      <c r="AE100" s="62" t="s">
        <v>564</v>
      </c>
      <c r="AF100" s="62" t="s">
        <v>565</v>
      </c>
      <c r="AI100" s="37"/>
      <c r="AK100" s="85"/>
      <c r="AL100" s="60">
        <v>16</v>
      </c>
      <c r="AO100" s="62">
        <v>8</v>
      </c>
      <c r="AP100" s="62">
        <v>8</v>
      </c>
      <c r="AW100" s="60"/>
      <c r="AX100" s="60"/>
      <c r="AY100" s="60"/>
      <c r="AZ100" s="60"/>
      <c r="BA100" s="60"/>
      <c r="BB100" s="60"/>
      <c r="BC100" s="60"/>
      <c r="BD100" s="60"/>
      <c r="BE100" s="60"/>
      <c r="BJ100" s="40"/>
      <c r="BK100" s="40">
        <f>VLOOKUP(M100,[1]EconBenMult!$B$12:$D$14,2,TRUE)*(BJ100/1000000)</f>
        <v>0</v>
      </c>
      <c r="BL100" s="31">
        <f>VLOOKUP(M100,[1]EconBenMult!$B$12:$D$14,3,TRUE)*(BJ100/1000000)</f>
        <v>0</v>
      </c>
      <c r="BM100" s="40"/>
      <c r="BN100" s="40"/>
      <c r="BO100" s="40"/>
      <c r="BP100" s="40"/>
    </row>
    <row r="101" spans="1:68" ht="15" customHeight="1" x14ac:dyDescent="0.2">
      <c r="A101" s="34">
        <v>42388</v>
      </c>
      <c r="B101" s="24">
        <v>2016</v>
      </c>
      <c r="C101" s="24" t="s">
        <v>181</v>
      </c>
      <c r="D101" s="25" t="s">
        <v>566</v>
      </c>
      <c r="E101" s="25" t="s">
        <v>567</v>
      </c>
      <c r="F101" s="25" t="s">
        <v>568</v>
      </c>
      <c r="G101" s="26">
        <v>59718</v>
      </c>
      <c r="J101" s="25" t="s">
        <v>94</v>
      </c>
      <c r="K101" s="28">
        <v>0.09</v>
      </c>
      <c r="L101" s="24" t="s">
        <v>239</v>
      </c>
      <c r="M101" s="25" t="s">
        <v>61</v>
      </c>
      <c r="N101" s="24" t="s">
        <v>62</v>
      </c>
      <c r="O101" s="29">
        <v>24</v>
      </c>
      <c r="P101" s="29">
        <v>2</v>
      </c>
      <c r="Q101" s="30">
        <v>2680000</v>
      </c>
      <c r="R101" s="30">
        <v>2492151</v>
      </c>
      <c r="S101" s="30"/>
      <c r="T101" s="30"/>
      <c r="W101" s="34">
        <v>43010</v>
      </c>
      <c r="Y101" s="34">
        <f t="shared" si="25"/>
        <v>43010</v>
      </c>
      <c r="Z101" s="35">
        <f t="shared" si="26"/>
        <v>48123</v>
      </c>
      <c r="AA101" s="36">
        <v>31</v>
      </c>
      <c r="AB101" s="35">
        <f t="shared" si="27"/>
        <v>59446</v>
      </c>
      <c r="AC101" s="25" t="s">
        <v>569</v>
      </c>
      <c r="AD101" s="25" t="s">
        <v>570</v>
      </c>
      <c r="AE101" s="25" t="s">
        <v>571</v>
      </c>
      <c r="AF101" s="25" t="s">
        <v>572</v>
      </c>
      <c r="AI101" s="37"/>
      <c r="AL101" s="24">
        <v>24</v>
      </c>
      <c r="AO101" s="25">
        <v>6</v>
      </c>
      <c r="AP101" s="25">
        <v>12</v>
      </c>
      <c r="AQ101" s="25">
        <v>6</v>
      </c>
      <c r="BJ101" s="40">
        <v>3649711</v>
      </c>
      <c r="BK101" s="40">
        <f>VLOOKUP(M101,[1]EconBenMult!$B$12:$D$14,2,TRUE)*(BJ101/1000000)</f>
        <v>28.321757359999999</v>
      </c>
      <c r="BL101" s="31">
        <f>VLOOKUP(M101,[1]EconBenMult!$B$12:$D$14,3,TRUE)*(BJ101/1000000)</f>
        <v>1562908.5880964398</v>
      </c>
    </row>
    <row r="102" spans="1:68" ht="15" customHeight="1" x14ac:dyDescent="0.2">
      <c r="A102" s="34">
        <v>43288</v>
      </c>
      <c r="B102" s="24">
        <v>2015</v>
      </c>
      <c r="C102" s="24" t="s">
        <v>181</v>
      </c>
      <c r="D102" s="25" t="s">
        <v>573</v>
      </c>
      <c r="E102" s="25" t="s">
        <v>574</v>
      </c>
      <c r="F102" s="25" t="s">
        <v>93</v>
      </c>
      <c r="G102" s="26">
        <v>59715</v>
      </c>
      <c r="H102" s="27">
        <v>45.692030000000003</v>
      </c>
      <c r="I102" s="27">
        <v>-111.05271</v>
      </c>
      <c r="J102" s="25" t="s">
        <v>94</v>
      </c>
      <c r="K102" s="28">
        <v>0.04</v>
      </c>
      <c r="L102" s="24" t="s">
        <v>239</v>
      </c>
      <c r="M102" s="25" t="s">
        <v>95</v>
      </c>
      <c r="N102" s="24" t="s">
        <v>62</v>
      </c>
      <c r="O102" s="29">
        <v>136</v>
      </c>
      <c r="P102" s="29">
        <v>8</v>
      </c>
      <c r="Q102" s="30">
        <v>7502520</v>
      </c>
      <c r="R102" s="30">
        <v>10046842</v>
      </c>
      <c r="S102" s="30">
        <v>15500000</v>
      </c>
      <c r="T102" s="30">
        <v>11700000</v>
      </c>
      <c r="U102" s="32">
        <v>4.6800000000000001E-2</v>
      </c>
      <c r="V102" s="33">
        <v>35</v>
      </c>
      <c r="W102" s="34">
        <v>42674</v>
      </c>
      <c r="Y102" s="34">
        <f t="shared" si="25"/>
        <v>42674</v>
      </c>
      <c r="Z102" s="35">
        <f t="shared" si="26"/>
        <v>47787</v>
      </c>
      <c r="AA102" s="36">
        <v>31</v>
      </c>
      <c r="AB102" s="35">
        <f t="shared" si="27"/>
        <v>59110</v>
      </c>
      <c r="AC102" s="25" t="s">
        <v>341</v>
      </c>
      <c r="AI102" s="37"/>
      <c r="AL102" s="24">
        <v>136</v>
      </c>
      <c r="BJ102" s="40">
        <v>24562466</v>
      </c>
      <c r="BK102" s="40">
        <f>VLOOKUP(M102,[1]EconBenMult!$B$12:$D$14,2,TRUE)*(BJ102/1000000)</f>
        <v>295.48646597999999</v>
      </c>
      <c r="BL102" s="31">
        <f>VLOOKUP(M102,[1]EconBenMult!$B$12:$D$14,3,TRUE)*(BJ102/1000000)</f>
        <v>17174784.8543441</v>
      </c>
    </row>
    <row r="103" spans="1:68" ht="15" customHeight="1" x14ac:dyDescent="0.2">
      <c r="A103" s="34">
        <v>41960</v>
      </c>
      <c r="B103" s="24">
        <v>2015</v>
      </c>
      <c r="C103" s="24" t="s">
        <v>181</v>
      </c>
      <c r="D103" s="25" t="s">
        <v>575</v>
      </c>
      <c r="E103" s="25" t="s">
        <v>576</v>
      </c>
      <c r="F103" s="25" t="s">
        <v>108</v>
      </c>
      <c r="G103" s="26">
        <v>59808</v>
      </c>
      <c r="J103" s="25" t="s">
        <v>108</v>
      </c>
      <c r="K103" s="28">
        <v>0.09</v>
      </c>
      <c r="L103" s="24" t="s">
        <v>411</v>
      </c>
      <c r="M103" s="25" t="s">
        <v>61</v>
      </c>
      <c r="N103" s="24" t="s">
        <v>577</v>
      </c>
      <c r="O103" s="29">
        <v>70</v>
      </c>
      <c r="P103" s="29">
        <v>1</v>
      </c>
      <c r="Q103" s="30">
        <v>5017230</v>
      </c>
      <c r="R103" s="30">
        <v>4096530</v>
      </c>
      <c r="S103" s="30"/>
      <c r="T103" s="30"/>
      <c r="W103" s="34">
        <v>42674</v>
      </c>
      <c r="Y103" s="34">
        <f t="shared" si="25"/>
        <v>42674</v>
      </c>
      <c r="Z103" s="35">
        <f t="shared" si="26"/>
        <v>47787</v>
      </c>
      <c r="AA103" s="36">
        <v>31</v>
      </c>
      <c r="AB103" s="35">
        <f t="shared" si="27"/>
        <v>59110</v>
      </c>
      <c r="AC103" s="25" t="s">
        <v>578</v>
      </c>
      <c r="AD103" s="25" t="s">
        <v>579</v>
      </c>
      <c r="AE103" s="25" t="s">
        <v>303</v>
      </c>
      <c r="AF103" s="25" t="s">
        <v>580</v>
      </c>
      <c r="AI103" s="37"/>
      <c r="AL103" s="24">
        <v>71</v>
      </c>
      <c r="AO103" s="25">
        <v>56</v>
      </c>
      <c r="AP103" s="25">
        <v>14</v>
      </c>
      <c r="BJ103" s="40">
        <v>6248773</v>
      </c>
      <c r="BK103" s="40">
        <f>VLOOKUP(M103,[1]EconBenMult!$B$12:$D$14,2,TRUE)*(BJ103/1000000)</f>
        <v>48.49047848</v>
      </c>
      <c r="BL103" s="31">
        <f>VLOOKUP(M103,[1]EconBenMult!$B$12:$D$14,3,TRUE)*(BJ103/1000000)</f>
        <v>2675899.81419492</v>
      </c>
    </row>
    <row r="104" spans="1:68" ht="15" customHeight="1" x14ac:dyDescent="0.2">
      <c r="A104" s="34">
        <v>41960</v>
      </c>
      <c r="B104" s="24">
        <v>2015</v>
      </c>
      <c r="C104" s="24" t="s">
        <v>181</v>
      </c>
      <c r="D104" s="25" t="s">
        <v>581</v>
      </c>
      <c r="E104" s="25" t="s">
        <v>582</v>
      </c>
      <c r="F104" s="25" t="s">
        <v>108</v>
      </c>
      <c r="G104" s="26">
        <v>59801</v>
      </c>
      <c r="J104" s="25" t="s">
        <v>108</v>
      </c>
      <c r="K104" s="28">
        <v>0.09</v>
      </c>
      <c r="L104" s="24" t="s">
        <v>411</v>
      </c>
      <c r="M104" s="25" t="s">
        <v>95</v>
      </c>
      <c r="N104" s="24" t="s">
        <v>62</v>
      </c>
      <c r="O104" s="29">
        <v>27</v>
      </c>
      <c r="P104" s="29">
        <v>1</v>
      </c>
      <c r="Q104" s="30">
        <v>3968990</v>
      </c>
      <c r="R104" s="30">
        <v>4127753</v>
      </c>
      <c r="S104" s="30"/>
      <c r="T104" s="30"/>
      <c r="W104" s="34">
        <v>42733</v>
      </c>
      <c r="Y104" s="34">
        <f t="shared" si="25"/>
        <v>42733</v>
      </c>
      <c r="Z104" s="35">
        <f t="shared" si="26"/>
        <v>47846</v>
      </c>
      <c r="AA104" s="36">
        <v>31</v>
      </c>
      <c r="AB104" s="35">
        <f t="shared" si="27"/>
        <v>59169</v>
      </c>
      <c r="AC104" s="25" t="s">
        <v>583</v>
      </c>
      <c r="AD104" s="25" t="s">
        <v>241</v>
      </c>
      <c r="AE104" s="25" t="s">
        <v>584</v>
      </c>
      <c r="AF104" s="25" t="s">
        <v>427</v>
      </c>
      <c r="AI104" s="37"/>
      <c r="AL104" s="24">
        <v>26</v>
      </c>
      <c r="AN104" s="25">
        <v>6</v>
      </c>
      <c r="AO104" s="25">
        <v>11</v>
      </c>
      <c r="AP104" s="25">
        <v>3</v>
      </c>
      <c r="AQ104" s="25">
        <v>6</v>
      </c>
      <c r="BJ104" s="40">
        <v>6096845</v>
      </c>
      <c r="BK104" s="40">
        <f>VLOOKUP(M104,[1]EconBenMult!$B$12:$D$14,2,TRUE)*(BJ104/1000000)</f>
        <v>73.345045349999992</v>
      </c>
      <c r="BL104" s="31">
        <f>VLOOKUP(M104,[1]EconBenMult!$B$12:$D$14,3,TRUE)*(BJ104/1000000)</f>
        <v>4263089.9179782495</v>
      </c>
    </row>
    <row r="105" spans="1:68" s="87" customFormat="1" ht="15" customHeight="1" x14ac:dyDescent="0.2">
      <c r="A105" s="34">
        <v>41960</v>
      </c>
      <c r="B105" s="24">
        <v>2015</v>
      </c>
      <c r="C105" s="24" t="s">
        <v>181</v>
      </c>
      <c r="D105" s="25" t="s">
        <v>585</v>
      </c>
      <c r="E105" s="25" t="s">
        <v>586</v>
      </c>
      <c r="F105" s="25" t="s">
        <v>93</v>
      </c>
      <c r="G105" s="26">
        <v>59718</v>
      </c>
      <c r="H105" s="27"/>
      <c r="I105" s="27"/>
      <c r="J105" s="25" t="s">
        <v>94</v>
      </c>
      <c r="K105" s="28">
        <v>0.09</v>
      </c>
      <c r="L105" s="24" t="s">
        <v>411</v>
      </c>
      <c r="M105" s="25" t="s">
        <v>95</v>
      </c>
      <c r="N105" s="24" t="s">
        <v>62</v>
      </c>
      <c r="O105" s="29">
        <v>47</v>
      </c>
      <c r="P105" s="29">
        <v>2</v>
      </c>
      <c r="Q105" s="30">
        <v>6587500</v>
      </c>
      <c r="R105" s="30">
        <v>5763486</v>
      </c>
      <c r="S105" s="30"/>
      <c r="T105" s="30"/>
      <c r="U105" s="32"/>
      <c r="V105" s="33"/>
      <c r="W105" s="34">
        <v>42643</v>
      </c>
      <c r="X105" s="34"/>
      <c r="Y105" s="34">
        <f t="shared" si="25"/>
        <v>42643</v>
      </c>
      <c r="Z105" s="35">
        <f t="shared" si="26"/>
        <v>47756</v>
      </c>
      <c r="AA105" s="36">
        <v>31</v>
      </c>
      <c r="AB105" s="35">
        <f t="shared" si="27"/>
        <v>59079</v>
      </c>
      <c r="AC105" s="25" t="s">
        <v>587</v>
      </c>
      <c r="AD105" s="25" t="s">
        <v>588</v>
      </c>
      <c r="AE105" s="25" t="s">
        <v>589</v>
      </c>
      <c r="AF105" s="25" t="s">
        <v>590</v>
      </c>
      <c r="AG105" s="25"/>
      <c r="AH105" s="25"/>
      <c r="AI105" s="37"/>
      <c r="AJ105" s="25"/>
      <c r="AK105" s="42"/>
      <c r="AL105" s="24">
        <v>48</v>
      </c>
      <c r="AM105" s="25"/>
      <c r="AN105" s="25"/>
      <c r="AO105" s="25"/>
      <c r="AP105" s="25">
        <v>30</v>
      </c>
      <c r="AQ105" s="25">
        <v>18</v>
      </c>
      <c r="AR105" s="25"/>
      <c r="AS105" s="25"/>
      <c r="AT105" s="25"/>
      <c r="AU105" s="25"/>
      <c r="AV105" s="25"/>
      <c r="AW105" s="86"/>
      <c r="AX105" s="86"/>
      <c r="AY105" s="86"/>
      <c r="AZ105" s="86"/>
      <c r="BA105" s="86"/>
      <c r="BB105" s="86"/>
      <c r="BC105" s="86"/>
      <c r="BD105" s="86"/>
      <c r="BE105" s="86"/>
      <c r="BJ105" s="40">
        <v>8180561</v>
      </c>
      <c r="BK105" s="40">
        <f>VLOOKUP(M105,[1]EconBenMult!$B$12:$D$14,2,TRUE)*(BJ105/1000000)</f>
        <v>98.412148830000007</v>
      </c>
      <c r="BL105" s="31">
        <f>VLOOKUP(M105,[1]EconBenMult!$B$12:$D$14,3,TRUE)*(BJ105/1000000)</f>
        <v>5720084.2603848502</v>
      </c>
      <c r="BM105" s="40"/>
      <c r="BN105" s="40"/>
      <c r="BO105" s="40"/>
      <c r="BP105" s="40"/>
    </row>
    <row r="106" spans="1:68" ht="15" customHeight="1" x14ac:dyDescent="0.2">
      <c r="A106" s="34">
        <v>41960</v>
      </c>
      <c r="B106" s="24">
        <v>2015</v>
      </c>
      <c r="C106" s="24" t="s">
        <v>181</v>
      </c>
      <c r="D106" s="25" t="s">
        <v>591</v>
      </c>
      <c r="E106" s="25" t="s">
        <v>592</v>
      </c>
      <c r="F106" s="25" t="s">
        <v>103</v>
      </c>
      <c r="G106" s="26">
        <v>59601</v>
      </c>
      <c r="J106" s="44" t="s">
        <v>104</v>
      </c>
      <c r="K106" s="28">
        <v>0.09</v>
      </c>
      <c r="L106" s="24" t="s">
        <v>411</v>
      </c>
      <c r="M106" s="25" t="s">
        <v>61</v>
      </c>
      <c r="N106" s="24" t="s">
        <v>577</v>
      </c>
      <c r="O106" s="29">
        <v>118</v>
      </c>
      <c r="P106" s="29">
        <v>1</v>
      </c>
      <c r="Q106" s="30">
        <v>10103668</v>
      </c>
      <c r="R106" s="30">
        <v>5664683</v>
      </c>
      <c r="S106" s="30"/>
      <c r="T106" s="30"/>
      <c r="W106" s="34">
        <v>42720</v>
      </c>
      <c r="Y106" s="34">
        <f t="shared" si="25"/>
        <v>42720</v>
      </c>
      <c r="Z106" s="35">
        <f t="shared" si="26"/>
        <v>47833</v>
      </c>
      <c r="AA106" s="36">
        <v>31</v>
      </c>
      <c r="AB106" s="35">
        <f t="shared" si="27"/>
        <v>59156</v>
      </c>
      <c r="AC106" s="25" t="s">
        <v>552</v>
      </c>
      <c r="AD106" s="25" t="s">
        <v>449</v>
      </c>
      <c r="AE106" s="25" t="s">
        <v>450</v>
      </c>
      <c r="AF106" s="25" t="s">
        <v>593</v>
      </c>
      <c r="AI106" s="37"/>
      <c r="AL106" s="24">
        <v>142</v>
      </c>
      <c r="AN106" s="25">
        <v>75</v>
      </c>
      <c r="AO106" s="25">
        <v>67</v>
      </c>
      <c r="BJ106" s="40">
        <v>9665250</v>
      </c>
      <c r="BK106" s="40">
        <f>VLOOKUP(M106,[1]EconBenMult!$B$12:$D$14,2,TRUE)*(BJ106/1000000)</f>
        <v>75.002340000000004</v>
      </c>
      <c r="BL106" s="31">
        <f>VLOOKUP(M106,[1]EconBenMult!$B$12:$D$14,3,TRUE)*(BJ106/1000000)</f>
        <v>4138931.0636100001</v>
      </c>
    </row>
    <row r="107" spans="1:68" ht="15" customHeight="1" x14ac:dyDescent="0.2">
      <c r="A107" s="34">
        <v>41960</v>
      </c>
      <c r="B107" s="24">
        <v>2015</v>
      </c>
      <c r="C107" s="24" t="s">
        <v>181</v>
      </c>
      <c r="D107" s="25" t="s">
        <v>594</v>
      </c>
      <c r="E107" s="25" t="s">
        <v>595</v>
      </c>
      <c r="F107" s="25" t="s">
        <v>596</v>
      </c>
      <c r="G107" s="26">
        <v>59741</v>
      </c>
      <c r="J107" s="25" t="s">
        <v>94</v>
      </c>
      <c r="K107" s="28">
        <v>0.09</v>
      </c>
      <c r="L107" s="24" t="s">
        <v>239</v>
      </c>
      <c r="M107" s="25" t="s">
        <v>61</v>
      </c>
      <c r="N107" s="24" t="s">
        <v>62</v>
      </c>
      <c r="O107" s="29">
        <v>16</v>
      </c>
      <c r="P107" s="29">
        <v>3</v>
      </c>
      <c r="Q107" s="30">
        <v>1534940</v>
      </c>
      <c r="R107" s="30">
        <v>1381308</v>
      </c>
      <c r="S107" s="30"/>
      <c r="T107" s="30"/>
      <c r="W107" s="34">
        <v>42513</v>
      </c>
      <c r="Y107" s="34">
        <f t="shared" si="25"/>
        <v>42513</v>
      </c>
      <c r="Z107" s="35">
        <f t="shared" si="26"/>
        <v>47626</v>
      </c>
      <c r="AA107" s="36">
        <v>31</v>
      </c>
      <c r="AB107" s="35">
        <f t="shared" si="27"/>
        <v>58949</v>
      </c>
      <c r="AC107" s="25" t="s">
        <v>597</v>
      </c>
      <c r="AD107" s="25" t="s">
        <v>598</v>
      </c>
      <c r="AE107" s="25" t="s">
        <v>599</v>
      </c>
      <c r="AF107" s="25" t="s">
        <v>600</v>
      </c>
      <c r="AI107" s="37"/>
      <c r="AL107" s="24">
        <v>16</v>
      </c>
      <c r="AO107" s="25">
        <v>8</v>
      </c>
      <c r="AP107" s="25">
        <v>8</v>
      </c>
      <c r="BJ107" s="40">
        <v>2086154</v>
      </c>
      <c r="BK107" s="40">
        <f>VLOOKUP(M107,[1]EconBenMult!$B$12:$D$14,2,TRUE)*(BJ107/1000000)</f>
        <v>16.188555040000001</v>
      </c>
      <c r="BL107" s="31">
        <f>VLOOKUP(M107,[1]EconBenMult!$B$12:$D$14,3,TRUE)*(BJ107/1000000)</f>
        <v>893349.63855815993</v>
      </c>
    </row>
    <row r="108" spans="1:68" s="62" customFormat="1" ht="15" customHeight="1" x14ac:dyDescent="0.2">
      <c r="A108" s="82">
        <v>41960</v>
      </c>
      <c r="B108" s="60">
        <v>2015</v>
      </c>
      <c r="C108" s="60" t="s">
        <v>181</v>
      </c>
      <c r="D108" s="62" t="s">
        <v>601</v>
      </c>
      <c r="E108" s="62" t="s">
        <v>602</v>
      </c>
      <c r="F108" s="62" t="s">
        <v>83</v>
      </c>
      <c r="G108" s="63">
        <v>59405</v>
      </c>
      <c r="H108" s="64"/>
      <c r="I108" s="64"/>
      <c r="J108" s="62" t="s">
        <v>84</v>
      </c>
      <c r="K108" s="83">
        <v>0.09</v>
      </c>
      <c r="L108" s="60" t="s">
        <v>239</v>
      </c>
      <c r="M108" s="62" t="s">
        <v>95</v>
      </c>
      <c r="N108" s="60" t="s">
        <v>577</v>
      </c>
      <c r="O108" s="68">
        <v>16</v>
      </c>
      <c r="P108" s="68">
        <v>1</v>
      </c>
      <c r="Q108" s="69">
        <v>2451830</v>
      </c>
      <c r="R108" s="69">
        <v>2230942</v>
      </c>
      <c r="S108" s="69"/>
      <c r="T108" s="69"/>
      <c r="U108" s="71"/>
      <c r="V108" s="72"/>
      <c r="W108" s="82">
        <v>42577</v>
      </c>
      <c r="X108" s="82"/>
      <c r="Y108" s="34">
        <f t="shared" si="25"/>
        <v>42577</v>
      </c>
      <c r="Z108" s="35">
        <f t="shared" si="26"/>
        <v>47690</v>
      </c>
      <c r="AA108" s="84">
        <v>31</v>
      </c>
      <c r="AB108" s="75">
        <f t="shared" si="27"/>
        <v>59013</v>
      </c>
      <c r="AC108" s="62" t="s">
        <v>603</v>
      </c>
      <c r="AD108" s="62" t="s">
        <v>604</v>
      </c>
      <c r="AE108" s="62" t="s">
        <v>564</v>
      </c>
      <c r="AF108" s="62" t="s">
        <v>605</v>
      </c>
      <c r="AI108" s="37"/>
      <c r="AK108" s="85"/>
      <c r="AL108" s="60">
        <v>16</v>
      </c>
      <c r="AO108" s="62">
        <v>8</v>
      </c>
      <c r="AP108" s="62">
        <v>8</v>
      </c>
      <c r="AW108" s="60"/>
      <c r="AX108" s="60"/>
      <c r="AY108" s="60"/>
      <c r="AZ108" s="60"/>
      <c r="BA108" s="60"/>
      <c r="BB108" s="60"/>
      <c r="BC108" s="60"/>
      <c r="BD108" s="60"/>
      <c r="BE108" s="60"/>
      <c r="BJ108" s="40">
        <v>2926967</v>
      </c>
      <c r="BK108" s="40">
        <f>VLOOKUP(M108,[1]EconBenMult!$B$12:$D$14,2,TRUE)*(BJ108/1000000)</f>
        <v>35.211413009999994</v>
      </c>
      <c r="BL108" s="31">
        <f>VLOOKUP(M108,[1]EconBenMult!$B$12:$D$14,3,TRUE)*(BJ108/1000000)</f>
        <v>2046619.7693979498</v>
      </c>
      <c r="BM108" s="40"/>
      <c r="BN108" s="40"/>
      <c r="BO108" s="40"/>
      <c r="BP108" s="40"/>
    </row>
    <row r="109" spans="1:68" s="87" customFormat="1" ht="15" customHeight="1" x14ac:dyDescent="0.2">
      <c r="A109" s="34">
        <v>41960</v>
      </c>
      <c r="B109" s="24">
        <v>2015</v>
      </c>
      <c r="C109" s="24" t="s">
        <v>181</v>
      </c>
      <c r="D109" s="25" t="s">
        <v>606</v>
      </c>
      <c r="E109" s="25" t="s">
        <v>607</v>
      </c>
      <c r="F109" s="25" t="s">
        <v>145</v>
      </c>
      <c r="G109" s="26">
        <v>59501</v>
      </c>
      <c r="H109" s="27"/>
      <c r="I109" s="27"/>
      <c r="J109" s="25" t="s">
        <v>608</v>
      </c>
      <c r="K109" s="28">
        <v>0.09</v>
      </c>
      <c r="L109" s="24" t="s">
        <v>239</v>
      </c>
      <c r="M109" s="25" t="s">
        <v>95</v>
      </c>
      <c r="N109" s="24" t="s">
        <v>62</v>
      </c>
      <c r="O109" s="29">
        <v>30</v>
      </c>
      <c r="P109" s="29">
        <v>7</v>
      </c>
      <c r="Q109" s="30">
        <v>5687500</v>
      </c>
      <c r="R109" s="30">
        <v>5118238</v>
      </c>
      <c r="S109" s="30"/>
      <c r="T109" s="30"/>
      <c r="U109" s="32"/>
      <c r="V109" s="33"/>
      <c r="W109" s="34">
        <v>42763</v>
      </c>
      <c r="X109" s="34"/>
      <c r="Y109" s="34">
        <f t="shared" si="25"/>
        <v>42763</v>
      </c>
      <c r="Z109" s="35">
        <f t="shared" si="26"/>
        <v>47876</v>
      </c>
      <c r="AA109" s="36">
        <v>31</v>
      </c>
      <c r="AB109" s="35">
        <f t="shared" si="27"/>
        <v>59199</v>
      </c>
      <c r="AC109" s="25" t="s">
        <v>609</v>
      </c>
      <c r="AD109" s="25" t="s">
        <v>610</v>
      </c>
      <c r="AE109" s="25" t="s">
        <v>611</v>
      </c>
      <c r="AF109" s="25" t="s">
        <v>460</v>
      </c>
      <c r="AG109" s="25"/>
      <c r="AH109" s="25"/>
      <c r="AI109" s="37"/>
      <c r="AJ109" s="25"/>
      <c r="AK109" s="42"/>
      <c r="AL109" s="24">
        <v>30</v>
      </c>
      <c r="AM109" s="25"/>
      <c r="AN109" s="25"/>
      <c r="AO109" s="25">
        <v>20</v>
      </c>
      <c r="AP109" s="25">
        <v>10</v>
      </c>
      <c r="AQ109" s="25"/>
      <c r="AR109" s="25"/>
      <c r="AS109" s="25"/>
      <c r="AT109" s="25"/>
      <c r="AU109" s="25"/>
      <c r="AV109" s="25"/>
      <c r="AW109" s="86"/>
      <c r="AX109" s="86"/>
      <c r="AY109" s="86"/>
      <c r="AZ109" s="86"/>
      <c r="BA109" s="86"/>
      <c r="BB109" s="86"/>
      <c r="BC109" s="86"/>
      <c r="BD109" s="86"/>
      <c r="BE109" s="86"/>
      <c r="BJ109" s="40">
        <v>6838948</v>
      </c>
      <c r="BK109" s="40">
        <f>VLOOKUP(M109,[1]EconBenMult!$B$12:$D$14,2,TRUE)*(BJ109/1000000)</f>
        <v>82.272544440000004</v>
      </c>
      <c r="BL109" s="31">
        <f>VLOOKUP(M109,[1]EconBenMult!$B$12:$D$14,3,TRUE)*(BJ109/1000000)</f>
        <v>4781989.7452498004</v>
      </c>
      <c r="BM109" s="40"/>
      <c r="BN109" s="40"/>
      <c r="BO109" s="40"/>
      <c r="BP109" s="40"/>
    </row>
    <row r="110" spans="1:68" ht="15" customHeight="1" x14ac:dyDescent="0.2">
      <c r="A110" s="34">
        <v>41668</v>
      </c>
      <c r="B110" s="24">
        <v>2014</v>
      </c>
      <c r="C110" s="24" t="s">
        <v>181</v>
      </c>
      <c r="D110" s="25" t="s">
        <v>612</v>
      </c>
      <c r="E110" s="25" t="s">
        <v>613</v>
      </c>
      <c r="F110" s="25" t="s">
        <v>614</v>
      </c>
      <c r="G110" s="26">
        <v>59521</v>
      </c>
      <c r="J110" s="25" t="s">
        <v>146</v>
      </c>
      <c r="K110" s="28">
        <v>0.09</v>
      </c>
      <c r="L110" s="24" t="s">
        <v>188</v>
      </c>
      <c r="M110" s="25" t="s">
        <v>61</v>
      </c>
      <c r="N110" s="24" t="s">
        <v>62</v>
      </c>
      <c r="O110" s="29">
        <v>33</v>
      </c>
      <c r="P110" s="24">
        <v>33</v>
      </c>
      <c r="Q110" s="30">
        <v>4889660</v>
      </c>
      <c r="R110" s="30">
        <v>4165573</v>
      </c>
      <c r="S110" s="30"/>
      <c r="T110" s="30"/>
      <c r="W110" s="34">
        <v>41964</v>
      </c>
      <c r="Y110" s="34">
        <f t="shared" si="25"/>
        <v>41964</v>
      </c>
      <c r="Z110" s="35">
        <f t="shared" si="26"/>
        <v>47078</v>
      </c>
      <c r="AA110" s="36">
        <v>31</v>
      </c>
      <c r="AB110" s="35">
        <f t="shared" si="27"/>
        <v>58400</v>
      </c>
      <c r="AC110" s="25" t="s">
        <v>615</v>
      </c>
      <c r="AD110" s="25" t="s">
        <v>616</v>
      </c>
      <c r="AE110" s="25" t="s">
        <v>617</v>
      </c>
      <c r="AF110" s="25" t="s">
        <v>614</v>
      </c>
      <c r="AG110" s="25" t="s">
        <v>67</v>
      </c>
      <c r="AH110" s="25">
        <v>59521</v>
      </c>
      <c r="AI110" s="37"/>
      <c r="AJ110" s="25" t="s">
        <v>618</v>
      </c>
      <c r="AL110" s="24">
        <f>SUM(AM110:AS110)</f>
        <v>33</v>
      </c>
      <c r="AQ110" s="25">
        <v>12</v>
      </c>
      <c r="AR110" s="25">
        <v>16</v>
      </c>
      <c r="AS110" s="25">
        <v>5</v>
      </c>
      <c r="AW110" s="24" t="s">
        <v>80</v>
      </c>
      <c r="AZ110" s="24">
        <v>4</v>
      </c>
      <c r="BA110" s="24">
        <v>21</v>
      </c>
      <c r="BB110" s="24">
        <v>8</v>
      </c>
      <c r="BG110" s="25">
        <f>SUM(AY110:BF110)</f>
        <v>33</v>
      </c>
      <c r="BJ110" s="40">
        <v>6584680</v>
      </c>
      <c r="BK110" s="40">
        <f>VLOOKUP(M110,[1]EconBenMult!$B$12:$D$14,2,TRUE)*(BJ110/1000000)</f>
        <v>51.097116799999995</v>
      </c>
      <c r="BL110" s="31">
        <f>VLOOKUP(M110,[1]EconBenMult!$B$12:$D$14,3,TRUE)*(BJ110/1000000)</f>
        <v>2819744.6104271999</v>
      </c>
    </row>
    <row r="111" spans="1:68" ht="15" customHeight="1" x14ac:dyDescent="0.2">
      <c r="A111" s="34">
        <v>41668</v>
      </c>
      <c r="B111" s="24">
        <v>2014</v>
      </c>
      <c r="C111" s="24" t="s">
        <v>181</v>
      </c>
      <c r="D111" s="25" t="s">
        <v>619</v>
      </c>
      <c r="E111" s="25" t="s">
        <v>620</v>
      </c>
      <c r="F111" s="25" t="s">
        <v>621</v>
      </c>
      <c r="G111" s="26">
        <v>59538</v>
      </c>
      <c r="J111" s="25" t="s">
        <v>622</v>
      </c>
      <c r="K111" s="28">
        <v>0.09</v>
      </c>
      <c r="L111" s="24" t="s">
        <v>239</v>
      </c>
      <c r="M111" s="25" t="s">
        <v>61</v>
      </c>
      <c r="N111" s="24" t="s">
        <v>62</v>
      </c>
      <c r="O111" s="29">
        <v>32</v>
      </c>
      <c r="P111" s="24">
        <v>33</v>
      </c>
      <c r="Q111" s="30">
        <v>2533900</v>
      </c>
      <c r="R111" s="30">
        <v>2052456</v>
      </c>
      <c r="S111" s="30"/>
      <c r="T111" s="30"/>
      <c r="W111" s="34">
        <v>41990</v>
      </c>
      <c r="Y111" s="34">
        <f t="shared" si="25"/>
        <v>41990</v>
      </c>
      <c r="Z111" s="35">
        <f t="shared" si="26"/>
        <v>47104</v>
      </c>
      <c r="AA111" s="36">
        <v>31</v>
      </c>
      <c r="AB111" s="35">
        <f t="shared" si="27"/>
        <v>58426</v>
      </c>
      <c r="AC111" s="25" t="s">
        <v>623</v>
      </c>
      <c r="AD111" s="25" t="s">
        <v>469</v>
      </c>
      <c r="AE111" s="25" t="s">
        <v>624</v>
      </c>
      <c r="AF111" s="25" t="s">
        <v>256</v>
      </c>
      <c r="AG111" s="25" t="s">
        <v>131</v>
      </c>
      <c r="AH111" s="25">
        <v>98101</v>
      </c>
      <c r="AI111" s="37"/>
      <c r="AJ111" s="25" t="s">
        <v>625</v>
      </c>
      <c r="AL111" s="24">
        <v>31</v>
      </c>
      <c r="AP111" s="25">
        <v>20</v>
      </c>
      <c r="AQ111" s="25">
        <v>11</v>
      </c>
      <c r="BJ111" s="40">
        <v>3790997</v>
      </c>
      <c r="BK111" s="40">
        <f>VLOOKUP(M111,[1]EconBenMult!$B$12:$D$14,2,TRUE)*(BJ111/1000000)</f>
        <v>29.41813672</v>
      </c>
      <c r="BL111" s="31">
        <f>VLOOKUP(M111,[1]EconBenMult!$B$12:$D$14,3,TRUE)*(BJ111/1000000)</f>
        <v>1623411.2149558798</v>
      </c>
    </row>
    <row r="112" spans="1:68" ht="15" customHeight="1" x14ac:dyDescent="0.2">
      <c r="A112" s="34">
        <v>41617</v>
      </c>
      <c r="B112" s="24">
        <v>2014</v>
      </c>
      <c r="C112" s="24" t="s">
        <v>181</v>
      </c>
      <c r="D112" s="25" t="s">
        <v>626</v>
      </c>
      <c r="E112" s="25" t="s">
        <v>627</v>
      </c>
      <c r="F112" s="25" t="s">
        <v>83</v>
      </c>
      <c r="G112" s="26">
        <v>59404</v>
      </c>
      <c r="J112" s="25" t="s">
        <v>84</v>
      </c>
      <c r="K112" s="28">
        <v>0.09</v>
      </c>
      <c r="L112" s="24" t="s">
        <v>411</v>
      </c>
      <c r="M112" s="25" t="s">
        <v>95</v>
      </c>
      <c r="N112" s="24" t="s">
        <v>628</v>
      </c>
      <c r="O112" s="101">
        <v>38</v>
      </c>
      <c r="P112" s="24">
        <v>1</v>
      </c>
      <c r="Q112" s="102">
        <v>6475000</v>
      </c>
      <c r="R112" s="102">
        <v>6344866</v>
      </c>
      <c r="S112" s="102"/>
      <c r="T112" s="102"/>
      <c r="U112" s="103"/>
      <c r="V112" s="104"/>
      <c r="W112" s="34">
        <v>42542</v>
      </c>
      <c r="Y112" s="34">
        <f t="shared" si="25"/>
        <v>42542</v>
      </c>
      <c r="Z112" s="35">
        <f t="shared" si="26"/>
        <v>47655</v>
      </c>
      <c r="AA112" s="36">
        <v>31</v>
      </c>
      <c r="AB112" s="35">
        <f t="shared" si="27"/>
        <v>58978</v>
      </c>
      <c r="AC112" s="25" t="s">
        <v>629</v>
      </c>
      <c r="AD112" s="25" t="s">
        <v>630</v>
      </c>
      <c r="AE112" s="25" t="s">
        <v>631</v>
      </c>
      <c r="AF112" s="25" t="s">
        <v>632</v>
      </c>
      <c r="AG112" s="25" t="s">
        <v>141</v>
      </c>
      <c r="AH112" s="25">
        <v>55114</v>
      </c>
      <c r="AI112" s="37"/>
      <c r="AJ112" s="25" t="s">
        <v>633</v>
      </c>
      <c r="AL112" s="24">
        <v>38</v>
      </c>
      <c r="AO112" s="25">
        <v>24</v>
      </c>
      <c r="AP112" s="25">
        <v>14</v>
      </c>
      <c r="BJ112" s="40">
        <v>8225300</v>
      </c>
      <c r="BK112" s="40">
        <f>VLOOKUP(M112,[1]EconBenMult!$B$12:$D$14,2,TRUE)*(BJ112/1000000)</f>
        <v>98.950359000000006</v>
      </c>
      <c r="BL112" s="31">
        <f>VLOOKUP(M112,[1]EconBenMult!$B$12:$D$14,3,TRUE)*(BJ112/1000000)</f>
        <v>5751367.059905</v>
      </c>
    </row>
    <row r="113" spans="1:68" ht="15" customHeight="1" x14ac:dyDescent="0.2">
      <c r="A113" s="34">
        <v>41617</v>
      </c>
      <c r="B113" s="24">
        <v>2014</v>
      </c>
      <c r="C113" s="24" t="s">
        <v>181</v>
      </c>
      <c r="D113" s="25" t="s">
        <v>634</v>
      </c>
      <c r="E113" s="25" t="s">
        <v>635</v>
      </c>
      <c r="F113" s="25" t="s">
        <v>636</v>
      </c>
      <c r="G113" s="26">
        <v>59270</v>
      </c>
      <c r="J113" s="25" t="s">
        <v>637</v>
      </c>
      <c r="K113" s="28">
        <v>0.09</v>
      </c>
      <c r="L113" s="24" t="s">
        <v>411</v>
      </c>
      <c r="M113" s="25" t="s">
        <v>95</v>
      </c>
      <c r="N113" s="24" t="s">
        <v>62</v>
      </c>
      <c r="O113" s="29">
        <v>36</v>
      </c>
      <c r="P113" s="24">
        <v>3</v>
      </c>
      <c r="Q113" s="30">
        <v>5407410</v>
      </c>
      <c r="R113" s="30">
        <v>4809711</v>
      </c>
      <c r="S113" s="30"/>
      <c r="T113" s="30"/>
      <c r="W113" s="34">
        <v>42482</v>
      </c>
      <c r="Y113" s="34">
        <f t="shared" si="25"/>
        <v>42482</v>
      </c>
      <c r="Z113" s="35">
        <f t="shared" si="26"/>
        <v>47595</v>
      </c>
      <c r="AA113" s="36">
        <v>45</v>
      </c>
      <c r="AB113" s="35">
        <f t="shared" si="27"/>
        <v>64031</v>
      </c>
      <c r="AC113" s="25" t="s">
        <v>638</v>
      </c>
      <c r="AD113" s="25" t="s">
        <v>639</v>
      </c>
      <c r="AE113" s="25" t="s">
        <v>640</v>
      </c>
      <c r="AF113" s="25" t="s">
        <v>641</v>
      </c>
      <c r="AG113" s="25" t="s">
        <v>67</v>
      </c>
      <c r="AH113" s="25">
        <v>59270</v>
      </c>
      <c r="AI113" s="37"/>
      <c r="AJ113" s="25" t="s">
        <v>642</v>
      </c>
      <c r="AL113" s="24">
        <v>36</v>
      </c>
      <c r="AO113" s="25">
        <v>6</v>
      </c>
      <c r="AP113" s="25">
        <v>15</v>
      </c>
      <c r="AQ113" s="25">
        <v>12</v>
      </c>
      <c r="AR113" s="25">
        <v>3</v>
      </c>
      <c r="BJ113" s="40">
        <v>6913024</v>
      </c>
      <c r="BK113" s="40">
        <f>VLOOKUP(M113,[1]EconBenMult!$B$12:$D$14,2,TRUE)*(BJ113/1000000)</f>
        <v>83.163678719999993</v>
      </c>
      <c r="BL113" s="31">
        <f>VLOOKUP(M113,[1]EconBenMult!$B$12:$D$14,3,TRUE)*(BJ113/1000000)</f>
        <v>4833785.8215423999</v>
      </c>
    </row>
    <row r="114" spans="1:68" ht="15" customHeight="1" x14ac:dyDescent="0.2">
      <c r="A114" s="34">
        <v>41617</v>
      </c>
      <c r="B114" s="24">
        <v>2014</v>
      </c>
      <c r="C114" s="24" t="s">
        <v>181</v>
      </c>
      <c r="D114" s="25" t="s">
        <v>643</v>
      </c>
      <c r="E114" s="25" t="s">
        <v>644</v>
      </c>
      <c r="F114" s="25" t="s">
        <v>645</v>
      </c>
      <c r="G114" s="26">
        <v>59330</v>
      </c>
      <c r="J114" s="25" t="s">
        <v>646</v>
      </c>
      <c r="K114" s="28">
        <v>0.09</v>
      </c>
      <c r="L114" s="24" t="s">
        <v>411</v>
      </c>
      <c r="M114" s="25" t="s">
        <v>95</v>
      </c>
      <c r="N114" s="24" t="s">
        <v>62</v>
      </c>
      <c r="O114" s="29">
        <v>28</v>
      </c>
      <c r="P114" s="24">
        <v>3</v>
      </c>
      <c r="Q114" s="30">
        <v>5000000</v>
      </c>
      <c r="R114" s="30">
        <v>4599080</v>
      </c>
      <c r="S114" s="30"/>
      <c r="T114" s="30"/>
      <c r="W114" s="34">
        <v>42152</v>
      </c>
      <c r="Y114" s="34">
        <f t="shared" si="25"/>
        <v>42152</v>
      </c>
      <c r="Z114" s="35">
        <f t="shared" si="26"/>
        <v>47266</v>
      </c>
      <c r="AA114" s="36">
        <v>46</v>
      </c>
      <c r="AB114" s="35">
        <f t="shared" si="27"/>
        <v>64067</v>
      </c>
      <c r="AC114" s="25" t="s">
        <v>647</v>
      </c>
      <c r="AD114" s="25" t="s">
        <v>122</v>
      </c>
      <c r="AE114" s="25" t="s">
        <v>648</v>
      </c>
      <c r="AF114" s="25" t="s">
        <v>649</v>
      </c>
      <c r="AG114" s="25" t="s">
        <v>67</v>
      </c>
      <c r="AH114" s="25">
        <v>59803</v>
      </c>
      <c r="AI114" s="37"/>
      <c r="AJ114" s="25" t="s">
        <v>650</v>
      </c>
      <c r="AL114" s="24">
        <v>27</v>
      </c>
      <c r="AP114" s="25">
        <v>18</v>
      </c>
      <c r="AQ114" s="25">
        <v>9</v>
      </c>
      <c r="BJ114" s="40">
        <v>5633554</v>
      </c>
      <c r="BK114" s="40">
        <f>VLOOKUP(M114,[1]EconBenMult!$B$12:$D$14,2,TRUE)*(BJ114/1000000)</f>
        <v>67.771654619999993</v>
      </c>
      <c r="BL114" s="31">
        <f>VLOOKUP(M114,[1]EconBenMult!$B$12:$D$14,3,TRUE)*(BJ114/1000000)</f>
        <v>3939143.4848329001</v>
      </c>
    </row>
    <row r="115" spans="1:68" s="87" customFormat="1" ht="15" customHeight="1" x14ac:dyDescent="0.2">
      <c r="A115" s="34">
        <v>41617</v>
      </c>
      <c r="B115" s="24">
        <v>2014</v>
      </c>
      <c r="C115" s="24" t="s">
        <v>181</v>
      </c>
      <c r="D115" s="25" t="s">
        <v>651</v>
      </c>
      <c r="E115" s="25" t="s">
        <v>652</v>
      </c>
      <c r="F115" s="25" t="s">
        <v>186</v>
      </c>
      <c r="G115" s="26">
        <v>59022</v>
      </c>
      <c r="H115" s="27"/>
      <c r="I115" s="27"/>
      <c r="J115" s="25" t="s">
        <v>187</v>
      </c>
      <c r="K115" s="28">
        <v>0.09</v>
      </c>
      <c r="L115" s="24" t="s">
        <v>188</v>
      </c>
      <c r="M115" s="25" t="s">
        <v>95</v>
      </c>
      <c r="N115" s="24" t="s">
        <v>62</v>
      </c>
      <c r="O115" s="29">
        <v>15</v>
      </c>
      <c r="P115" s="24">
        <v>1</v>
      </c>
      <c r="Q115" s="30">
        <v>2590000</v>
      </c>
      <c r="R115" s="30">
        <v>2046100</v>
      </c>
      <c r="S115" s="30"/>
      <c r="T115" s="30"/>
      <c r="U115" s="32"/>
      <c r="V115" s="33"/>
      <c r="W115" s="34">
        <v>42216</v>
      </c>
      <c r="X115" s="34"/>
      <c r="Y115" s="34">
        <f t="shared" si="25"/>
        <v>42216</v>
      </c>
      <c r="Z115" s="35">
        <f t="shared" si="26"/>
        <v>47330</v>
      </c>
      <c r="AA115" s="36">
        <v>31</v>
      </c>
      <c r="AB115" s="35">
        <f t="shared" si="27"/>
        <v>58653</v>
      </c>
      <c r="AC115" s="25" t="s">
        <v>653</v>
      </c>
      <c r="AD115" s="25" t="s">
        <v>654</v>
      </c>
      <c r="AE115" s="25" t="s">
        <v>655</v>
      </c>
      <c r="AF115" s="25" t="s">
        <v>186</v>
      </c>
      <c r="AG115" s="25" t="s">
        <v>67</v>
      </c>
      <c r="AH115" s="25">
        <v>59022</v>
      </c>
      <c r="AI115" s="37"/>
      <c r="AJ115" s="25" t="s">
        <v>656</v>
      </c>
      <c r="AK115" s="42"/>
      <c r="AL115" s="24">
        <v>15</v>
      </c>
      <c r="AM115" s="25"/>
      <c r="AN115" s="25"/>
      <c r="AO115" s="25">
        <v>15</v>
      </c>
      <c r="AP115" s="25"/>
      <c r="AQ115" s="25"/>
      <c r="AR115" s="25"/>
      <c r="AS115" s="25"/>
      <c r="AT115" s="25"/>
      <c r="AU115" s="25"/>
      <c r="AV115" s="25"/>
      <c r="AW115" s="86"/>
      <c r="AX115" s="86"/>
      <c r="AY115" s="86"/>
      <c r="AZ115" s="86"/>
      <c r="BA115" s="86"/>
      <c r="BB115" s="86"/>
      <c r="BC115" s="86"/>
      <c r="BD115" s="86"/>
      <c r="BE115" s="86"/>
      <c r="BJ115" s="40">
        <v>3226911</v>
      </c>
      <c r="BK115" s="40">
        <f>VLOOKUP(M115,[1]EconBenMult!$B$12:$D$14,2,TRUE)*(BJ115/1000000)</f>
        <v>38.819739329999997</v>
      </c>
      <c r="BL115" s="31">
        <f>VLOOKUP(M115,[1]EconBenMult!$B$12:$D$14,3,TRUE)*(BJ115/1000000)</f>
        <v>2256349.2675823499</v>
      </c>
      <c r="BM115" s="40"/>
      <c r="BN115" s="40"/>
      <c r="BO115" s="40"/>
      <c r="BP115" s="40"/>
    </row>
    <row r="116" spans="1:68" ht="15" customHeight="1" x14ac:dyDescent="0.2">
      <c r="A116" s="34">
        <v>41387</v>
      </c>
      <c r="B116" s="24">
        <v>2013</v>
      </c>
      <c r="C116" s="24" t="s">
        <v>181</v>
      </c>
      <c r="D116" s="25" t="s">
        <v>657</v>
      </c>
      <c r="E116" s="25" t="s">
        <v>658</v>
      </c>
      <c r="F116" s="25" t="s">
        <v>108</v>
      </c>
      <c r="G116" s="26">
        <v>59801</v>
      </c>
      <c r="J116" s="25" t="s">
        <v>108</v>
      </c>
      <c r="K116" s="28">
        <v>0.09</v>
      </c>
      <c r="L116" s="24" t="s">
        <v>411</v>
      </c>
      <c r="M116" s="25" t="s">
        <v>95</v>
      </c>
      <c r="N116" s="24" t="s">
        <v>577</v>
      </c>
      <c r="O116" s="29">
        <v>36</v>
      </c>
      <c r="P116" s="24">
        <v>1</v>
      </c>
      <c r="Q116" s="30">
        <v>5750000</v>
      </c>
      <c r="R116" s="30">
        <v>4800770</v>
      </c>
      <c r="S116" s="30"/>
      <c r="T116" s="30"/>
      <c r="W116" s="34">
        <v>41933</v>
      </c>
      <c r="Y116" s="34">
        <f t="shared" si="25"/>
        <v>41933</v>
      </c>
      <c r="Z116" s="35">
        <f t="shared" si="26"/>
        <v>47047</v>
      </c>
      <c r="AA116" s="36">
        <v>15</v>
      </c>
      <c r="AB116" s="35">
        <f t="shared" si="27"/>
        <v>52525</v>
      </c>
      <c r="AC116" s="25" t="s">
        <v>659</v>
      </c>
      <c r="AD116" s="25" t="s">
        <v>122</v>
      </c>
      <c r="AE116" s="25" t="s">
        <v>660</v>
      </c>
      <c r="AF116" s="25" t="s">
        <v>108</v>
      </c>
      <c r="AG116" s="25" t="s">
        <v>67</v>
      </c>
      <c r="AH116" s="25">
        <v>59801</v>
      </c>
      <c r="AI116" s="37"/>
      <c r="AJ116" s="25" t="s">
        <v>661</v>
      </c>
      <c r="AL116" s="29">
        <v>36</v>
      </c>
      <c r="AO116" s="25">
        <v>24</v>
      </c>
      <c r="AP116" s="25">
        <v>12</v>
      </c>
      <c r="BJ116" s="40">
        <v>5740436</v>
      </c>
      <c r="BK116" s="40">
        <f>VLOOKUP(M116,[1]EconBenMult!$B$12:$D$14,2,TRUE)*(BJ116/1000000)</f>
        <v>69.057445079999994</v>
      </c>
      <c r="BL116" s="31">
        <f>VLOOKUP(M116,[1]EconBenMult!$B$12:$D$14,3,TRUE)*(BJ116/1000000)</f>
        <v>4013878.4627785999</v>
      </c>
    </row>
    <row r="117" spans="1:68" ht="15" customHeight="1" x14ac:dyDescent="0.2">
      <c r="A117" s="34">
        <v>40887</v>
      </c>
      <c r="B117" s="24">
        <v>2013</v>
      </c>
      <c r="C117" s="24" t="s">
        <v>181</v>
      </c>
      <c r="D117" s="25" t="s">
        <v>662</v>
      </c>
      <c r="E117" s="25" t="s">
        <v>663</v>
      </c>
      <c r="F117" s="25" t="s">
        <v>103</v>
      </c>
      <c r="G117" s="26">
        <v>59601</v>
      </c>
      <c r="J117" s="44" t="s">
        <v>104</v>
      </c>
      <c r="K117" s="28">
        <v>0.09</v>
      </c>
      <c r="L117" s="24" t="s">
        <v>74</v>
      </c>
      <c r="M117" s="25" t="s">
        <v>95</v>
      </c>
      <c r="N117" s="24" t="s">
        <v>628</v>
      </c>
      <c r="O117" s="29">
        <v>32</v>
      </c>
      <c r="P117" s="24">
        <v>11</v>
      </c>
      <c r="Q117" s="30">
        <v>6162500</v>
      </c>
      <c r="R117" s="105">
        <v>4964327</v>
      </c>
      <c r="S117" s="105"/>
      <c r="T117" s="105"/>
      <c r="U117" s="106"/>
      <c r="V117" s="107"/>
      <c r="W117" s="34">
        <v>41494</v>
      </c>
      <c r="Y117" s="34">
        <f t="shared" si="25"/>
        <v>41494</v>
      </c>
      <c r="Z117" s="35">
        <f t="shared" si="26"/>
        <v>46607</v>
      </c>
      <c r="AA117" s="36">
        <v>31</v>
      </c>
      <c r="AB117" s="35">
        <f t="shared" si="27"/>
        <v>57930</v>
      </c>
      <c r="AC117" s="25" t="s">
        <v>664</v>
      </c>
      <c r="AD117" s="25" t="s">
        <v>665</v>
      </c>
      <c r="AE117" s="25" t="s">
        <v>431</v>
      </c>
      <c r="AF117" s="25" t="s">
        <v>666</v>
      </c>
      <c r="AG117" s="25" t="s">
        <v>67</v>
      </c>
      <c r="AH117" s="25">
        <v>59623</v>
      </c>
      <c r="AI117" s="37"/>
      <c r="AJ117" s="25" t="s">
        <v>667</v>
      </c>
      <c r="AK117" s="109"/>
      <c r="AL117" s="110">
        <v>32</v>
      </c>
      <c r="AO117" s="110">
        <v>27</v>
      </c>
      <c r="AP117" s="110">
        <v>5</v>
      </c>
      <c r="BJ117" s="40">
        <v>6126608</v>
      </c>
      <c r="BK117" s="40">
        <f>VLOOKUP(M117,[1]EconBenMult!$B$12:$D$14,2,TRUE)*(BJ117/1000000)</f>
        <v>73.703094239999999</v>
      </c>
      <c r="BL117" s="31">
        <f>VLOOKUP(M117,[1]EconBenMult!$B$12:$D$14,3,TRUE)*(BJ117/1000000)</f>
        <v>4283901.0662407996</v>
      </c>
    </row>
    <row r="118" spans="1:68" s="87" customFormat="1" ht="15" customHeight="1" x14ac:dyDescent="0.2">
      <c r="A118" s="34">
        <v>41018</v>
      </c>
      <c r="B118" s="24">
        <v>2013</v>
      </c>
      <c r="C118" s="24" t="s">
        <v>181</v>
      </c>
      <c r="D118" s="25" t="s">
        <v>668</v>
      </c>
      <c r="E118" s="25" t="s">
        <v>669</v>
      </c>
      <c r="F118" s="25" t="s">
        <v>83</v>
      </c>
      <c r="G118" s="26">
        <v>59405</v>
      </c>
      <c r="H118" s="27"/>
      <c r="I118" s="27"/>
      <c r="J118" s="25" t="s">
        <v>84</v>
      </c>
      <c r="K118" s="28">
        <v>0.09</v>
      </c>
      <c r="L118" s="24" t="s">
        <v>411</v>
      </c>
      <c r="M118" s="25" t="s">
        <v>61</v>
      </c>
      <c r="N118" s="24" t="s">
        <v>577</v>
      </c>
      <c r="O118" s="29">
        <v>50</v>
      </c>
      <c r="P118" s="24">
        <v>3</v>
      </c>
      <c r="Q118" s="105">
        <v>5380000</v>
      </c>
      <c r="R118" s="105">
        <v>4914096</v>
      </c>
      <c r="S118" s="105"/>
      <c r="T118" s="105"/>
      <c r="U118" s="106"/>
      <c r="V118" s="107"/>
      <c r="W118" s="34">
        <v>41640</v>
      </c>
      <c r="X118" s="34"/>
      <c r="Y118" s="34">
        <f t="shared" si="25"/>
        <v>41640</v>
      </c>
      <c r="Z118" s="35">
        <f t="shared" si="26"/>
        <v>46753</v>
      </c>
      <c r="AA118" s="36">
        <v>31</v>
      </c>
      <c r="AB118" s="35">
        <f t="shared" si="27"/>
        <v>58076</v>
      </c>
      <c r="AC118" s="25" t="s">
        <v>670</v>
      </c>
      <c r="AD118" s="25" t="s">
        <v>671</v>
      </c>
      <c r="AE118" s="25" t="s">
        <v>672</v>
      </c>
      <c r="AF118" s="25" t="s">
        <v>83</v>
      </c>
      <c r="AG118" s="25" t="s">
        <v>67</v>
      </c>
      <c r="AH118" s="25">
        <v>59403</v>
      </c>
      <c r="AI118" s="37"/>
      <c r="AJ118" s="25" t="s">
        <v>673</v>
      </c>
      <c r="AK118" s="42"/>
      <c r="AL118" s="24">
        <v>56</v>
      </c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86"/>
      <c r="AX118" s="86"/>
      <c r="AY118" s="86"/>
      <c r="AZ118" s="86"/>
      <c r="BA118" s="86"/>
      <c r="BB118" s="86"/>
      <c r="BC118" s="86"/>
      <c r="BD118" s="86"/>
      <c r="BE118" s="86"/>
      <c r="BJ118" s="40">
        <v>6869041</v>
      </c>
      <c r="BK118" s="40">
        <f>VLOOKUP(M118,[1]EconBenMult!$B$12:$D$14,2,TRUE)*(BJ118/1000000)</f>
        <v>53.303758160000001</v>
      </c>
      <c r="BL118" s="31">
        <f>VLOOKUP(M118,[1]EconBenMult!$B$12:$D$14,3,TRUE)*(BJ118/1000000)</f>
        <v>2941515.9641096401</v>
      </c>
      <c r="BM118" s="40"/>
      <c r="BN118" s="40"/>
      <c r="BO118" s="40"/>
      <c r="BP118" s="40"/>
    </row>
    <row r="119" spans="1:68" ht="15" customHeight="1" x14ac:dyDescent="0.2">
      <c r="A119" s="34">
        <v>41018</v>
      </c>
      <c r="B119" s="24">
        <v>2013</v>
      </c>
      <c r="C119" s="24" t="s">
        <v>181</v>
      </c>
      <c r="D119" s="25" t="s">
        <v>674</v>
      </c>
      <c r="E119" s="25" t="s">
        <v>675</v>
      </c>
      <c r="F119" s="25" t="s">
        <v>517</v>
      </c>
      <c r="G119" s="26">
        <v>59417</v>
      </c>
      <c r="J119" s="25" t="s">
        <v>518</v>
      </c>
      <c r="K119" s="28">
        <v>0.09</v>
      </c>
      <c r="L119" s="24" t="s">
        <v>188</v>
      </c>
      <c r="M119" s="25" t="s">
        <v>95</v>
      </c>
      <c r="N119" s="24" t="s">
        <v>62</v>
      </c>
      <c r="O119" s="29">
        <v>24</v>
      </c>
      <c r="P119" s="24">
        <v>24</v>
      </c>
      <c r="Q119" s="105">
        <v>6312250</v>
      </c>
      <c r="R119" s="105">
        <v>5023534</v>
      </c>
      <c r="S119" s="105"/>
      <c r="T119" s="105"/>
      <c r="U119" s="106"/>
      <c r="V119" s="107"/>
      <c r="W119" s="34">
        <v>41699</v>
      </c>
      <c r="Y119" s="34">
        <f t="shared" si="25"/>
        <v>41699</v>
      </c>
      <c r="Z119" s="35">
        <f t="shared" si="26"/>
        <v>46813</v>
      </c>
      <c r="AA119" s="36">
        <v>31</v>
      </c>
      <c r="AB119" s="35">
        <f t="shared" si="27"/>
        <v>58135</v>
      </c>
      <c r="AC119" s="25" t="s">
        <v>676</v>
      </c>
      <c r="AD119" s="25" t="s">
        <v>677</v>
      </c>
      <c r="AE119" s="25" t="s">
        <v>678</v>
      </c>
      <c r="AF119" s="25" t="s">
        <v>517</v>
      </c>
      <c r="AG119" s="25" t="s">
        <v>67</v>
      </c>
      <c r="AH119" s="25">
        <v>59417</v>
      </c>
      <c r="AI119" s="37"/>
      <c r="AJ119" s="25" t="s">
        <v>679</v>
      </c>
      <c r="AL119" s="29">
        <v>24</v>
      </c>
      <c r="BJ119" s="40">
        <v>5395068</v>
      </c>
      <c r="BK119" s="40">
        <f>VLOOKUP(M119,[1]EconBenMult!$B$12:$D$14,2,TRUE)*(BJ119/1000000)</f>
        <v>64.902668039999995</v>
      </c>
      <c r="BL119" s="31">
        <f>VLOOKUP(M119,[1]EconBenMult!$B$12:$D$14,3,TRUE)*(BJ119/1000000)</f>
        <v>3772387.1933117998</v>
      </c>
    </row>
    <row r="120" spans="1:68" ht="15" customHeight="1" x14ac:dyDescent="0.2">
      <c r="A120" s="89">
        <v>41386</v>
      </c>
      <c r="B120" s="86">
        <v>2013</v>
      </c>
      <c r="C120" s="86" t="s">
        <v>680</v>
      </c>
      <c r="D120" s="87" t="s">
        <v>681</v>
      </c>
      <c r="E120" s="87" t="s">
        <v>682</v>
      </c>
      <c r="F120" s="87" t="s">
        <v>463</v>
      </c>
      <c r="G120" s="90">
        <v>59201</v>
      </c>
      <c r="H120" s="91"/>
      <c r="I120" s="91"/>
      <c r="J120" s="87" t="s">
        <v>457</v>
      </c>
      <c r="K120" s="93">
        <v>0.09</v>
      </c>
      <c r="L120" s="86" t="s">
        <v>411</v>
      </c>
      <c r="M120" s="87" t="s">
        <v>95</v>
      </c>
      <c r="N120" s="86" t="s">
        <v>62</v>
      </c>
      <c r="O120" s="94"/>
      <c r="P120" s="86" t="s">
        <v>683</v>
      </c>
      <c r="Q120" s="95">
        <v>4035990</v>
      </c>
      <c r="R120" s="95"/>
      <c r="S120" s="95"/>
      <c r="T120" s="95"/>
      <c r="U120" s="96"/>
      <c r="V120" s="97"/>
      <c r="Y120" s="34">
        <f t="shared" si="25"/>
        <v>0</v>
      </c>
      <c r="AA120" s="99"/>
      <c r="AC120" s="87" t="s">
        <v>684</v>
      </c>
      <c r="AD120" s="87" t="s">
        <v>685</v>
      </c>
      <c r="AE120" s="87" t="s">
        <v>686</v>
      </c>
      <c r="AF120" s="87" t="s">
        <v>687</v>
      </c>
      <c r="AG120" s="87" t="s">
        <v>688</v>
      </c>
      <c r="AH120" s="87">
        <v>80904</v>
      </c>
      <c r="AI120" s="37"/>
      <c r="AJ120" s="87" t="s">
        <v>689</v>
      </c>
      <c r="AK120" s="100"/>
      <c r="AL120" s="94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BJ120" s="40">
        <v>4254810</v>
      </c>
      <c r="BK120" s="40">
        <f>VLOOKUP(M120,[1]EconBenMult!$B$12:$D$14,2,TRUE)*(BJ120/1000000)</f>
        <v>51.185364299999996</v>
      </c>
      <c r="BL120" s="31">
        <f>VLOOKUP(M120,[1]EconBenMult!$B$12:$D$14,3,TRUE)*(BJ120/1000000)</f>
        <v>2975085.9032684998</v>
      </c>
    </row>
    <row r="121" spans="1:68" ht="15" customHeight="1" x14ac:dyDescent="0.2">
      <c r="A121" s="34">
        <v>41386</v>
      </c>
      <c r="B121" s="24">
        <v>2013</v>
      </c>
      <c r="C121" s="24" t="s">
        <v>181</v>
      </c>
      <c r="D121" s="25" t="s">
        <v>690</v>
      </c>
      <c r="E121" s="25" t="s">
        <v>691</v>
      </c>
      <c r="F121" s="25" t="s">
        <v>692</v>
      </c>
      <c r="G121" s="26">
        <v>59255</v>
      </c>
      <c r="J121" s="25" t="s">
        <v>457</v>
      </c>
      <c r="K121" s="28">
        <v>0.09</v>
      </c>
      <c r="L121" s="24" t="s">
        <v>188</v>
      </c>
      <c r="M121" s="25" t="s">
        <v>95</v>
      </c>
      <c r="N121" s="24" t="s">
        <v>62</v>
      </c>
      <c r="O121" s="29">
        <v>19</v>
      </c>
      <c r="P121" s="24">
        <v>19</v>
      </c>
      <c r="Q121" s="30">
        <v>6031304</v>
      </c>
      <c r="R121" s="30">
        <v>5040283</v>
      </c>
      <c r="S121" s="30"/>
      <c r="T121" s="30"/>
      <c r="W121" s="34">
        <v>42277</v>
      </c>
      <c r="Y121" s="34">
        <f t="shared" si="25"/>
        <v>42277</v>
      </c>
      <c r="Z121" s="35">
        <f t="shared" si="26"/>
        <v>47391</v>
      </c>
      <c r="AA121" s="36">
        <v>31</v>
      </c>
      <c r="AB121" s="35">
        <f t="shared" ref="AB121:AB134" si="28">DATE(YEAR(Z121)+AA121,MONTH(Z121),DAY(Z121))</f>
        <v>58714</v>
      </c>
      <c r="AC121" s="25" t="s">
        <v>693</v>
      </c>
      <c r="AD121" s="25" t="s">
        <v>694</v>
      </c>
      <c r="AE121" s="25" t="s">
        <v>695</v>
      </c>
      <c r="AF121" s="25" t="s">
        <v>696</v>
      </c>
      <c r="AG121" s="25" t="s">
        <v>67</v>
      </c>
      <c r="AH121" s="25">
        <v>59255</v>
      </c>
      <c r="AI121" s="37"/>
      <c r="AJ121" s="25" t="s">
        <v>697</v>
      </c>
      <c r="AL121" s="29">
        <v>20</v>
      </c>
      <c r="BJ121" s="40">
        <v>6031304</v>
      </c>
      <c r="BK121" s="40">
        <f>VLOOKUP(M121,[1]EconBenMult!$B$12:$D$14,2,TRUE)*(BJ121/1000000)</f>
        <v>72.556587120000003</v>
      </c>
      <c r="BL121" s="31">
        <f>VLOOKUP(M121,[1]EconBenMult!$B$12:$D$14,3,TRUE)*(BJ121/1000000)</f>
        <v>4217261.7599204006</v>
      </c>
    </row>
    <row r="122" spans="1:68" ht="15" customHeight="1" x14ac:dyDescent="0.2">
      <c r="A122" s="34">
        <v>41386</v>
      </c>
      <c r="B122" s="24">
        <v>2013</v>
      </c>
      <c r="C122" s="24" t="s">
        <v>181</v>
      </c>
      <c r="D122" s="25" t="s">
        <v>698</v>
      </c>
      <c r="E122" s="25" t="s">
        <v>699</v>
      </c>
      <c r="F122" s="25" t="s">
        <v>145</v>
      </c>
      <c r="G122" s="26">
        <v>59501</v>
      </c>
      <c r="J122" s="25" t="s">
        <v>146</v>
      </c>
      <c r="K122" s="28">
        <v>0.09</v>
      </c>
      <c r="L122" s="24" t="s">
        <v>411</v>
      </c>
      <c r="M122" s="25" t="s">
        <v>61</v>
      </c>
      <c r="N122" s="24" t="s">
        <v>62</v>
      </c>
      <c r="O122" s="29">
        <v>52</v>
      </c>
      <c r="P122" s="24">
        <v>8</v>
      </c>
      <c r="Q122" s="30">
        <v>6250000</v>
      </c>
      <c r="R122" s="30">
        <v>5218228</v>
      </c>
      <c r="S122" s="30"/>
      <c r="T122" s="30"/>
      <c r="W122" s="34">
        <v>41626</v>
      </c>
      <c r="Y122" s="34">
        <f t="shared" si="25"/>
        <v>41626</v>
      </c>
      <c r="Z122" s="35">
        <f t="shared" si="26"/>
        <v>46739</v>
      </c>
      <c r="AA122" s="36">
        <v>31</v>
      </c>
      <c r="AB122" s="35">
        <f t="shared" si="28"/>
        <v>58062</v>
      </c>
      <c r="AC122" s="25" t="s">
        <v>700</v>
      </c>
      <c r="AD122" s="25" t="s">
        <v>469</v>
      </c>
      <c r="AE122" s="25" t="s">
        <v>701</v>
      </c>
      <c r="AF122" s="25" t="s">
        <v>256</v>
      </c>
      <c r="AG122" s="25" t="s">
        <v>131</v>
      </c>
      <c r="AH122" s="25">
        <v>98112</v>
      </c>
      <c r="AI122" s="37"/>
      <c r="AJ122" s="25" t="s">
        <v>625</v>
      </c>
      <c r="AL122" s="29">
        <v>52</v>
      </c>
      <c r="AO122" s="25">
        <v>8</v>
      </c>
      <c r="AP122" s="25">
        <v>8</v>
      </c>
      <c r="AQ122" s="25">
        <v>24</v>
      </c>
      <c r="AR122" s="25">
        <v>12</v>
      </c>
      <c r="BJ122" s="40">
        <v>7209088</v>
      </c>
      <c r="BK122" s="40">
        <f>VLOOKUP(M122,[1]EconBenMult!$B$12:$D$14,2,TRUE)*(BJ122/1000000)</f>
        <v>55.942522879999999</v>
      </c>
      <c r="BL122" s="31">
        <f>VLOOKUP(M122,[1]EconBenMult!$B$12:$D$14,3,TRUE)*(BJ122/1000000)</f>
        <v>3087133.6244275202</v>
      </c>
    </row>
    <row r="123" spans="1:68" ht="15" customHeight="1" x14ac:dyDescent="0.2">
      <c r="A123" s="34">
        <v>41386</v>
      </c>
      <c r="B123" s="24">
        <v>2013</v>
      </c>
      <c r="C123" s="24" t="s">
        <v>181</v>
      </c>
      <c r="D123" s="25" t="s">
        <v>702</v>
      </c>
      <c r="E123" s="25" t="s">
        <v>703</v>
      </c>
      <c r="F123" s="25" t="s">
        <v>704</v>
      </c>
      <c r="G123" s="26">
        <v>59427</v>
      </c>
      <c r="H123" s="27">
        <v>48.638330000000003</v>
      </c>
      <c r="I123" s="27">
        <v>-112.32511</v>
      </c>
      <c r="J123" s="25" t="s">
        <v>518</v>
      </c>
      <c r="K123" s="28">
        <v>0.09</v>
      </c>
      <c r="L123" s="24" t="s">
        <v>239</v>
      </c>
      <c r="M123" s="25" t="s">
        <v>95</v>
      </c>
      <c r="N123" s="24" t="s">
        <v>62</v>
      </c>
      <c r="O123" s="29">
        <v>14</v>
      </c>
      <c r="P123" s="24">
        <v>2</v>
      </c>
      <c r="Q123" s="30">
        <v>2590000</v>
      </c>
      <c r="R123" s="30">
        <v>2097900</v>
      </c>
      <c r="S123" s="30"/>
      <c r="T123" s="30"/>
      <c r="W123" s="34">
        <v>41786</v>
      </c>
      <c r="Y123" s="34">
        <f t="shared" si="25"/>
        <v>41786</v>
      </c>
      <c r="Z123" s="35">
        <f t="shared" si="26"/>
        <v>46900</v>
      </c>
      <c r="AA123" s="36">
        <v>31</v>
      </c>
      <c r="AB123" s="35">
        <f t="shared" si="28"/>
        <v>58222</v>
      </c>
      <c r="AC123" s="25" t="s">
        <v>705</v>
      </c>
      <c r="AD123" s="25" t="s">
        <v>706</v>
      </c>
      <c r="AE123" s="25" t="s">
        <v>707</v>
      </c>
      <c r="AF123" s="25" t="s">
        <v>215</v>
      </c>
      <c r="AG123" s="25" t="s">
        <v>216</v>
      </c>
      <c r="AH123" s="25">
        <v>83706</v>
      </c>
      <c r="AI123" s="37"/>
      <c r="AJ123" s="25" t="s">
        <v>708</v>
      </c>
      <c r="AL123" s="29">
        <v>14</v>
      </c>
      <c r="AP123" s="25">
        <v>9</v>
      </c>
      <c r="AQ123" s="25">
        <v>5</v>
      </c>
      <c r="BJ123" s="40">
        <v>2459531</v>
      </c>
      <c r="BK123" s="40">
        <f>VLOOKUP(M123,[1]EconBenMult!$B$12:$D$14,2,TRUE)*(BJ123/1000000)</f>
        <v>29.588157930000001</v>
      </c>
      <c r="BL123" s="31">
        <f>VLOOKUP(M123,[1]EconBenMult!$B$12:$D$14,3,TRUE)*(BJ123/1000000)</f>
        <v>1719775.03266935</v>
      </c>
    </row>
    <row r="124" spans="1:68" ht="15" customHeight="1" x14ac:dyDescent="0.2">
      <c r="A124" s="34">
        <v>41018</v>
      </c>
      <c r="B124" s="24">
        <v>2012</v>
      </c>
      <c r="C124" s="24" t="s">
        <v>181</v>
      </c>
      <c r="D124" s="25" t="s">
        <v>709</v>
      </c>
      <c r="E124" s="25" t="s">
        <v>710</v>
      </c>
      <c r="F124" s="25" t="s">
        <v>66</v>
      </c>
      <c r="G124" s="26">
        <v>59901</v>
      </c>
      <c r="J124" s="25" t="s">
        <v>59</v>
      </c>
      <c r="K124" s="28">
        <v>0.09</v>
      </c>
      <c r="L124" s="24" t="s">
        <v>411</v>
      </c>
      <c r="M124" s="25" t="s">
        <v>95</v>
      </c>
      <c r="N124" s="24" t="s">
        <v>577</v>
      </c>
      <c r="O124" s="29">
        <v>40</v>
      </c>
      <c r="P124" s="24">
        <v>1</v>
      </c>
      <c r="Q124" s="30">
        <v>6080000</v>
      </c>
      <c r="R124" s="30"/>
      <c r="S124" s="30"/>
      <c r="T124" s="30"/>
      <c r="W124" s="34">
        <v>41390</v>
      </c>
      <c r="Y124" s="34">
        <f t="shared" si="25"/>
        <v>41390</v>
      </c>
      <c r="Z124" s="35">
        <f t="shared" si="26"/>
        <v>46503</v>
      </c>
      <c r="AA124" s="36">
        <v>31</v>
      </c>
      <c r="AB124" s="35">
        <f t="shared" si="28"/>
        <v>57826</v>
      </c>
      <c r="AC124" s="25" t="s">
        <v>711</v>
      </c>
      <c r="AD124" s="25" t="s">
        <v>712</v>
      </c>
      <c r="AE124" s="25" t="s">
        <v>713</v>
      </c>
      <c r="AF124" s="25" t="s">
        <v>108</v>
      </c>
      <c r="AG124" s="25" t="s">
        <v>67</v>
      </c>
      <c r="AH124" s="25">
        <v>59803</v>
      </c>
      <c r="AI124" s="37"/>
      <c r="AJ124" s="25" t="s">
        <v>714</v>
      </c>
      <c r="AL124" s="29">
        <v>40</v>
      </c>
      <c r="BJ124" s="40">
        <v>5320936</v>
      </c>
      <c r="BK124" s="40">
        <f>VLOOKUP(M124,[1]EconBenMult!$B$12:$D$14,2,TRUE)*(BJ124/1000000)</f>
        <v>64.010860079999986</v>
      </c>
      <c r="BL124" s="31">
        <f>VLOOKUP(M124,[1]EconBenMult!$B$12:$D$14,3,TRUE)*(BJ124/1000000)</f>
        <v>3720551.9602035997</v>
      </c>
    </row>
    <row r="125" spans="1:68" ht="15" customHeight="1" x14ac:dyDescent="0.2">
      <c r="A125" s="34">
        <v>41018</v>
      </c>
      <c r="B125" s="24">
        <v>2012</v>
      </c>
      <c r="C125" s="24" t="s">
        <v>181</v>
      </c>
      <c r="D125" s="25" t="s">
        <v>715</v>
      </c>
      <c r="E125" s="25" t="s">
        <v>716</v>
      </c>
      <c r="F125" s="25" t="s">
        <v>636</v>
      </c>
      <c r="G125" s="26">
        <v>59270</v>
      </c>
      <c r="J125" s="25" t="s">
        <v>637</v>
      </c>
      <c r="K125" s="28">
        <v>0.09</v>
      </c>
      <c r="L125" s="24" t="s">
        <v>239</v>
      </c>
      <c r="M125" s="25" t="s">
        <v>95</v>
      </c>
      <c r="N125" s="24" t="s">
        <v>62</v>
      </c>
      <c r="O125" s="29">
        <v>20</v>
      </c>
      <c r="P125" s="24">
        <v>1</v>
      </c>
      <c r="Q125" s="30">
        <v>4030130</v>
      </c>
      <c r="R125" s="30"/>
      <c r="S125" s="30"/>
      <c r="T125" s="30"/>
      <c r="W125" s="34">
        <v>41547</v>
      </c>
      <c r="Y125" s="34">
        <f t="shared" si="25"/>
        <v>41547</v>
      </c>
      <c r="Z125" s="35">
        <f t="shared" si="26"/>
        <v>46660</v>
      </c>
      <c r="AA125" s="36">
        <v>31</v>
      </c>
      <c r="AB125" s="35">
        <f t="shared" si="28"/>
        <v>57983</v>
      </c>
      <c r="AC125" s="25" t="s">
        <v>717</v>
      </c>
      <c r="AD125" s="25" t="s">
        <v>639</v>
      </c>
      <c r="AE125" s="25" t="s">
        <v>718</v>
      </c>
      <c r="AF125" s="25" t="s">
        <v>636</v>
      </c>
      <c r="AG125" s="25" t="s">
        <v>719</v>
      </c>
      <c r="AH125" s="25">
        <v>59270</v>
      </c>
      <c r="AI125" s="37"/>
      <c r="AJ125" s="25" t="s">
        <v>720</v>
      </c>
      <c r="AL125" s="29">
        <v>20</v>
      </c>
      <c r="BJ125" s="40">
        <v>3444557</v>
      </c>
      <c r="BK125" s="40">
        <f>VLOOKUP(M125,[1]EconBenMult!$B$12:$D$14,2,TRUE)*(BJ125/1000000)</f>
        <v>41.438020709999996</v>
      </c>
      <c r="BL125" s="31">
        <f>VLOOKUP(M125,[1]EconBenMult!$B$12:$D$14,3,TRUE)*(BJ125/1000000)</f>
        <v>2408533.6298694499</v>
      </c>
    </row>
    <row r="126" spans="1:68" ht="15" customHeight="1" x14ac:dyDescent="0.2">
      <c r="A126" s="34">
        <v>41018</v>
      </c>
      <c r="B126" s="24">
        <v>2012</v>
      </c>
      <c r="C126" s="24" t="s">
        <v>181</v>
      </c>
      <c r="D126" s="25" t="s">
        <v>721</v>
      </c>
      <c r="E126" s="25" t="s">
        <v>722</v>
      </c>
      <c r="F126" s="25" t="s">
        <v>723</v>
      </c>
      <c r="G126" s="26">
        <v>59474</v>
      </c>
      <c r="J126" s="25" t="s">
        <v>724</v>
      </c>
      <c r="K126" s="28">
        <v>0.09</v>
      </c>
      <c r="L126" s="24" t="s">
        <v>725</v>
      </c>
      <c r="M126" s="25" t="s">
        <v>95</v>
      </c>
      <c r="N126" s="24" t="s">
        <v>62</v>
      </c>
      <c r="O126" s="29">
        <v>12</v>
      </c>
      <c r="P126" s="24">
        <v>2</v>
      </c>
      <c r="Q126" s="105">
        <v>2000000</v>
      </c>
      <c r="R126" s="105"/>
      <c r="S126" s="105"/>
      <c r="T126" s="105"/>
      <c r="U126" s="106"/>
      <c r="V126" s="107"/>
      <c r="W126" s="34">
        <v>41428</v>
      </c>
      <c r="Y126" s="34">
        <f t="shared" si="25"/>
        <v>41428</v>
      </c>
      <c r="Z126" s="35">
        <f t="shared" si="26"/>
        <v>46541</v>
      </c>
      <c r="AA126" s="36">
        <v>31</v>
      </c>
      <c r="AB126" s="35">
        <f t="shared" si="28"/>
        <v>57864</v>
      </c>
      <c r="AC126" s="25" t="s">
        <v>726</v>
      </c>
      <c r="AD126" s="25" t="s">
        <v>706</v>
      </c>
      <c r="AE126" s="25" t="s">
        <v>214</v>
      </c>
      <c r="AF126" s="25" t="s">
        <v>215</v>
      </c>
      <c r="AG126" s="25" t="s">
        <v>216</v>
      </c>
      <c r="AH126" s="25">
        <v>83706</v>
      </c>
      <c r="AI126" s="37"/>
      <c r="AJ126" s="25" t="s">
        <v>708</v>
      </c>
      <c r="AL126" s="24">
        <v>12</v>
      </c>
      <c r="BJ126" s="40">
        <v>1758655</v>
      </c>
      <c r="BK126" s="40">
        <f>VLOOKUP(M126,[1]EconBenMult!$B$12:$D$14,2,TRUE)*(BJ126/1000000)</f>
        <v>21.15661965</v>
      </c>
      <c r="BL126" s="31">
        <f>VLOOKUP(M126,[1]EconBenMult!$B$12:$D$14,3,TRUE)*(BJ126/1000000)</f>
        <v>1229702.3131967501</v>
      </c>
    </row>
    <row r="127" spans="1:68" ht="15" customHeight="1" x14ac:dyDescent="0.2">
      <c r="A127" s="34">
        <v>41018</v>
      </c>
      <c r="B127" s="24">
        <v>2012</v>
      </c>
      <c r="C127" s="24" t="s">
        <v>181</v>
      </c>
      <c r="D127" s="25" t="s">
        <v>727</v>
      </c>
      <c r="E127" s="25" t="s">
        <v>728</v>
      </c>
      <c r="F127" s="25" t="s">
        <v>93</v>
      </c>
      <c r="G127" s="26">
        <v>59715</v>
      </c>
      <c r="J127" s="25" t="s">
        <v>94</v>
      </c>
      <c r="K127" s="28">
        <v>0.09</v>
      </c>
      <c r="L127" s="24" t="s">
        <v>725</v>
      </c>
      <c r="M127" s="25" t="s">
        <v>95</v>
      </c>
      <c r="N127" s="24" t="s">
        <v>62</v>
      </c>
      <c r="O127" s="29">
        <v>11</v>
      </c>
      <c r="P127" s="24">
        <v>3</v>
      </c>
      <c r="Q127" s="105">
        <v>2000000</v>
      </c>
      <c r="R127" s="105"/>
      <c r="S127" s="105"/>
      <c r="T127" s="105"/>
      <c r="U127" s="106"/>
      <c r="V127" s="107"/>
      <c r="W127" s="34">
        <v>41579</v>
      </c>
      <c r="Y127" s="34">
        <f t="shared" si="25"/>
        <v>41579</v>
      </c>
      <c r="Z127" s="35">
        <f t="shared" si="26"/>
        <v>46692</v>
      </c>
      <c r="AA127" s="36">
        <v>40</v>
      </c>
      <c r="AB127" s="35">
        <f t="shared" si="28"/>
        <v>61302</v>
      </c>
      <c r="AC127" s="25" t="s">
        <v>729</v>
      </c>
      <c r="AD127" s="25" t="s">
        <v>730</v>
      </c>
      <c r="AE127" s="25" t="s">
        <v>731</v>
      </c>
      <c r="AF127" s="25" t="s">
        <v>93</v>
      </c>
      <c r="AG127" s="25" t="s">
        <v>67</v>
      </c>
      <c r="AH127" s="25">
        <v>59718</v>
      </c>
      <c r="AI127" s="37"/>
      <c r="AJ127" s="25" t="s">
        <v>732</v>
      </c>
      <c r="AL127" s="24">
        <v>11</v>
      </c>
      <c r="BJ127" s="40">
        <v>2186497</v>
      </c>
      <c r="BK127" s="40">
        <f>VLOOKUP(M127,[1]EconBenMult!$B$12:$D$14,2,TRUE)*(BJ127/1000000)</f>
        <v>26.30355891</v>
      </c>
      <c r="BL127" s="31">
        <f>VLOOKUP(M127,[1]EconBenMult!$B$12:$D$14,3,TRUE)*(BJ127/1000000)</f>
        <v>1528861.78283845</v>
      </c>
    </row>
    <row r="128" spans="1:68" ht="15" customHeight="1" x14ac:dyDescent="0.2">
      <c r="A128" s="34">
        <v>41018</v>
      </c>
      <c r="B128" s="24">
        <v>2012</v>
      </c>
      <c r="C128" s="24" t="s">
        <v>181</v>
      </c>
      <c r="D128" s="25" t="s">
        <v>733</v>
      </c>
      <c r="E128" s="25" t="s">
        <v>734</v>
      </c>
      <c r="F128" s="25" t="s">
        <v>210</v>
      </c>
      <c r="G128" s="26">
        <v>59701</v>
      </c>
      <c r="H128" s="27">
        <v>45.984650000000002</v>
      </c>
      <c r="I128" s="27">
        <v>-112.52417</v>
      </c>
      <c r="J128" s="25" t="s">
        <v>735</v>
      </c>
      <c r="K128" s="28">
        <v>0.04</v>
      </c>
      <c r="L128" s="24" t="s">
        <v>411</v>
      </c>
      <c r="M128" s="25" t="s">
        <v>61</v>
      </c>
      <c r="N128" s="24" t="s">
        <v>62</v>
      </c>
      <c r="O128" s="29">
        <v>60</v>
      </c>
      <c r="P128" s="24">
        <v>8</v>
      </c>
      <c r="Q128" s="105">
        <v>1707950</v>
      </c>
      <c r="R128" s="105"/>
      <c r="S128" s="105">
        <f>(857000+4032000+850713)*0.6</f>
        <v>3443827.8</v>
      </c>
      <c r="T128" s="105"/>
      <c r="U128" s="106"/>
      <c r="V128" s="107"/>
      <c r="W128" s="34">
        <v>41167</v>
      </c>
      <c r="Y128" s="34">
        <f t="shared" si="25"/>
        <v>41167</v>
      </c>
      <c r="Z128" s="35">
        <f t="shared" si="26"/>
        <v>46280</v>
      </c>
      <c r="AA128" s="36">
        <v>31</v>
      </c>
      <c r="AB128" s="35">
        <f t="shared" si="28"/>
        <v>57603</v>
      </c>
      <c r="AC128" s="25" t="s">
        <v>341</v>
      </c>
      <c r="AD128" s="25" t="s">
        <v>469</v>
      </c>
      <c r="AE128" s="25" t="s">
        <v>701</v>
      </c>
      <c r="AF128" s="25" t="s">
        <v>256</v>
      </c>
      <c r="AG128" s="25" t="s">
        <v>131</v>
      </c>
      <c r="AH128" s="25">
        <v>98112</v>
      </c>
      <c r="AI128" s="37"/>
      <c r="AJ128" s="25" t="s">
        <v>625</v>
      </c>
      <c r="AK128" s="109"/>
      <c r="AL128" s="110">
        <v>60</v>
      </c>
      <c r="BJ128" s="40">
        <v>5316022</v>
      </c>
      <c r="BK128" s="40">
        <f>VLOOKUP(M128,[1]EconBenMult!$B$12:$D$14,2,TRUE)*(BJ128/1000000)</f>
        <v>41.252330720000003</v>
      </c>
      <c r="BL128" s="31">
        <f>VLOOKUP(M128,[1]EconBenMult!$B$12:$D$14,3,TRUE)*(BJ128/1000000)</f>
        <v>2276469.6816568798</v>
      </c>
    </row>
    <row r="129" spans="1:68" ht="15" customHeight="1" x14ac:dyDescent="0.2">
      <c r="A129" s="34">
        <v>41018</v>
      </c>
      <c r="B129" s="24">
        <v>2012</v>
      </c>
      <c r="C129" s="24" t="s">
        <v>181</v>
      </c>
      <c r="D129" s="25" t="s">
        <v>736</v>
      </c>
      <c r="E129" s="25" t="s">
        <v>737</v>
      </c>
      <c r="F129" s="25" t="s">
        <v>83</v>
      </c>
      <c r="G129" s="26">
        <v>59405</v>
      </c>
      <c r="H129" s="27">
        <v>47.490549999999999</v>
      </c>
      <c r="I129" s="27">
        <v>-111.29602</v>
      </c>
      <c r="J129" s="25" t="s">
        <v>84</v>
      </c>
      <c r="K129" s="28">
        <v>0.04</v>
      </c>
      <c r="L129" s="24" t="s">
        <v>411</v>
      </c>
      <c r="M129" s="25" t="s">
        <v>61</v>
      </c>
      <c r="N129" s="24" t="s">
        <v>628</v>
      </c>
      <c r="O129" s="29">
        <v>40</v>
      </c>
      <c r="P129" s="24">
        <v>1</v>
      </c>
      <c r="Q129" s="105">
        <v>709480</v>
      </c>
      <c r="R129" s="105"/>
      <c r="S129" s="105">
        <f>(857000+4032000+850713)*0.4</f>
        <v>2295885.2000000002</v>
      </c>
      <c r="T129" s="105"/>
      <c r="U129" s="106"/>
      <c r="V129" s="107"/>
      <c r="W129" s="34">
        <v>41275</v>
      </c>
      <c r="Y129" s="34">
        <f t="shared" si="25"/>
        <v>41275</v>
      </c>
      <c r="Z129" s="35">
        <f t="shared" si="26"/>
        <v>46388</v>
      </c>
      <c r="AA129" s="36">
        <v>31</v>
      </c>
      <c r="AB129" s="35">
        <f t="shared" si="28"/>
        <v>57711</v>
      </c>
      <c r="AC129" s="25" t="s">
        <v>341</v>
      </c>
      <c r="AD129" s="25" t="s">
        <v>469</v>
      </c>
      <c r="AE129" s="25" t="s">
        <v>701</v>
      </c>
      <c r="AF129" s="25" t="s">
        <v>256</v>
      </c>
      <c r="AG129" s="25" t="s">
        <v>131</v>
      </c>
      <c r="AH129" s="25">
        <v>98112</v>
      </c>
      <c r="AI129" s="37"/>
      <c r="AJ129" s="25" t="s">
        <v>625</v>
      </c>
      <c r="AK129" s="109"/>
      <c r="AL129" s="110">
        <v>40</v>
      </c>
      <c r="BJ129" s="40">
        <v>2391300</v>
      </c>
      <c r="BK129" s="40">
        <f>VLOOKUP(M129,[1]EconBenMult!$B$12:$D$14,2,TRUE)*(BJ129/1000000)</f>
        <v>18.556488000000002</v>
      </c>
      <c r="BL129" s="31">
        <f>VLOOKUP(M129,[1]EconBenMult!$B$12:$D$14,3,TRUE)*(BJ129/1000000)</f>
        <v>1024021.712052</v>
      </c>
    </row>
    <row r="130" spans="1:68" ht="15" customHeight="1" x14ac:dyDescent="0.2">
      <c r="A130" s="34">
        <v>40887</v>
      </c>
      <c r="B130" s="24">
        <v>2011</v>
      </c>
      <c r="C130" s="24" t="s">
        <v>181</v>
      </c>
      <c r="D130" s="25" t="s">
        <v>738</v>
      </c>
      <c r="E130" s="25" t="s">
        <v>739</v>
      </c>
      <c r="F130" s="25" t="s">
        <v>740</v>
      </c>
      <c r="G130" s="26">
        <v>59866</v>
      </c>
      <c r="J130" s="25" t="s">
        <v>741</v>
      </c>
      <c r="K130" s="28">
        <v>0.09</v>
      </c>
      <c r="L130" s="24" t="s">
        <v>411</v>
      </c>
      <c r="M130" s="25" t="s">
        <v>95</v>
      </c>
      <c r="N130" s="24" t="s">
        <v>62</v>
      </c>
      <c r="O130" s="29">
        <v>8</v>
      </c>
      <c r="P130" s="24">
        <v>1</v>
      </c>
      <c r="Q130" s="30">
        <v>1189130</v>
      </c>
      <c r="R130" s="30"/>
      <c r="S130" s="30"/>
      <c r="T130" s="30"/>
      <c r="W130" s="34">
        <v>41241</v>
      </c>
      <c r="Y130" s="34">
        <f t="shared" si="25"/>
        <v>41241</v>
      </c>
      <c r="Z130" s="35">
        <f t="shared" si="26"/>
        <v>46354</v>
      </c>
      <c r="AA130" s="36">
        <v>31</v>
      </c>
      <c r="AB130" s="35">
        <f t="shared" si="28"/>
        <v>57677</v>
      </c>
      <c r="AC130" s="25" t="s">
        <v>742</v>
      </c>
      <c r="AD130" s="25" t="s">
        <v>743</v>
      </c>
      <c r="AE130" s="25" t="s">
        <v>744</v>
      </c>
      <c r="AF130" s="25" t="s">
        <v>745</v>
      </c>
      <c r="AG130" s="25" t="s">
        <v>67</v>
      </c>
      <c r="AH130" s="25">
        <v>59801</v>
      </c>
      <c r="AI130" s="37"/>
      <c r="AJ130" s="25" t="s">
        <v>661</v>
      </c>
      <c r="AK130" s="109"/>
      <c r="AL130" s="110">
        <v>8</v>
      </c>
      <c r="AO130" s="25">
        <v>2</v>
      </c>
      <c r="AP130" s="25">
        <v>2</v>
      </c>
      <c r="AQ130" s="25">
        <v>4</v>
      </c>
      <c r="BJ130" s="40">
        <v>114058</v>
      </c>
      <c r="BK130" s="40">
        <f>VLOOKUP(M130,[1]EconBenMult!$B$12:$D$14,2,TRUE)*(BJ130/1000000)</f>
        <v>1.37211774</v>
      </c>
      <c r="BL130" s="31">
        <f>VLOOKUP(M130,[1]EconBenMult!$B$12:$D$14,3,TRUE)*(BJ130/1000000)</f>
        <v>79752.644173299996</v>
      </c>
    </row>
    <row r="131" spans="1:68" ht="15" customHeight="1" x14ac:dyDescent="0.2">
      <c r="A131" s="34">
        <v>40887</v>
      </c>
      <c r="B131" s="24">
        <v>2011</v>
      </c>
      <c r="C131" s="24" t="s">
        <v>181</v>
      </c>
      <c r="D131" s="25" t="s">
        <v>746</v>
      </c>
      <c r="E131" s="25" t="s">
        <v>560</v>
      </c>
      <c r="F131" s="25" t="s">
        <v>83</v>
      </c>
      <c r="G131" s="26">
        <v>59401</v>
      </c>
      <c r="J131" s="25" t="s">
        <v>84</v>
      </c>
      <c r="K131" s="28">
        <v>0.09</v>
      </c>
      <c r="L131" s="24" t="s">
        <v>411</v>
      </c>
      <c r="M131" s="25" t="s">
        <v>95</v>
      </c>
      <c r="N131" s="24" t="s">
        <v>628</v>
      </c>
      <c r="O131" s="29">
        <v>40</v>
      </c>
      <c r="P131" s="24">
        <v>1</v>
      </c>
      <c r="Q131" s="30">
        <v>6045270</v>
      </c>
      <c r="R131" s="30"/>
      <c r="S131" s="30"/>
      <c r="T131" s="30"/>
      <c r="W131" s="34">
        <v>41180</v>
      </c>
      <c r="Y131" s="34">
        <f t="shared" si="25"/>
        <v>41180</v>
      </c>
      <c r="Z131" s="35">
        <f t="shared" si="26"/>
        <v>46293</v>
      </c>
      <c r="AA131" s="36">
        <v>31</v>
      </c>
      <c r="AB131" s="35">
        <f t="shared" si="28"/>
        <v>57616</v>
      </c>
      <c r="AC131" s="25" t="s">
        <v>747</v>
      </c>
      <c r="AD131" s="25" t="s">
        <v>748</v>
      </c>
      <c r="AE131" s="25" t="s">
        <v>749</v>
      </c>
      <c r="AF131" s="25" t="s">
        <v>750</v>
      </c>
      <c r="AG131" s="25" t="s">
        <v>67</v>
      </c>
      <c r="AH131" s="25">
        <v>59401</v>
      </c>
      <c r="AI131" s="37"/>
      <c r="AJ131" s="25" t="s">
        <v>751</v>
      </c>
      <c r="AK131" s="109"/>
      <c r="AL131" s="110">
        <v>40</v>
      </c>
      <c r="AO131" s="25">
        <v>20</v>
      </c>
      <c r="AP131" s="25">
        <v>19</v>
      </c>
      <c r="AV131" s="25">
        <v>1</v>
      </c>
      <c r="BJ131" s="40">
        <v>5502169</v>
      </c>
      <c r="BK131" s="40">
        <f>VLOOKUP(M131,[1]EconBenMult!$B$12:$D$14,2,TRUE)*(BJ131/1000000)</f>
        <v>66.191093069999994</v>
      </c>
      <c r="BL131" s="31">
        <f>VLOOKUP(M131,[1]EconBenMult!$B$12:$D$14,3,TRUE)*(BJ131/1000000)</f>
        <v>3847275.30237565</v>
      </c>
    </row>
    <row r="132" spans="1:68" ht="15" customHeight="1" x14ac:dyDescent="0.2">
      <c r="A132" s="34">
        <v>40887</v>
      </c>
      <c r="B132" s="24">
        <v>2011</v>
      </c>
      <c r="C132" s="24" t="s">
        <v>181</v>
      </c>
      <c r="D132" s="25" t="s">
        <v>752</v>
      </c>
      <c r="E132" s="25" t="s">
        <v>753</v>
      </c>
      <c r="F132" s="25" t="s">
        <v>108</v>
      </c>
      <c r="G132" s="26">
        <v>59801</v>
      </c>
      <c r="J132" s="25" t="s">
        <v>108</v>
      </c>
      <c r="K132" s="28">
        <v>0.09</v>
      </c>
      <c r="L132" s="24" t="s">
        <v>411</v>
      </c>
      <c r="M132" s="25" t="s">
        <v>61</v>
      </c>
      <c r="N132" s="24" t="s">
        <v>62</v>
      </c>
      <c r="O132" s="29">
        <v>60</v>
      </c>
      <c r="P132" s="24">
        <v>1</v>
      </c>
      <c r="Q132" s="30">
        <v>6162500</v>
      </c>
      <c r="R132" s="30"/>
      <c r="S132" s="30"/>
      <c r="T132" s="30"/>
      <c r="W132" s="34">
        <v>41275</v>
      </c>
      <c r="Y132" s="34">
        <f t="shared" si="25"/>
        <v>41275</v>
      </c>
      <c r="Z132" s="35">
        <f t="shared" si="26"/>
        <v>46388</v>
      </c>
      <c r="AA132" s="36">
        <v>31</v>
      </c>
      <c r="AB132" s="35">
        <f t="shared" si="28"/>
        <v>57711</v>
      </c>
      <c r="AC132" s="25" t="s">
        <v>754</v>
      </c>
      <c r="AD132" s="25" t="s">
        <v>755</v>
      </c>
      <c r="AE132" s="25" t="s">
        <v>756</v>
      </c>
      <c r="AF132" s="25" t="s">
        <v>745</v>
      </c>
      <c r="AG132" s="25" t="s">
        <v>67</v>
      </c>
      <c r="AH132" s="25">
        <v>59801</v>
      </c>
      <c r="AI132" s="37"/>
      <c r="AJ132" s="25" t="s">
        <v>757</v>
      </c>
      <c r="AK132" s="109"/>
      <c r="AL132" s="110">
        <v>60</v>
      </c>
      <c r="AN132" s="25">
        <v>5</v>
      </c>
      <c r="AO132" s="25">
        <v>47</v>
      </c>
      <c r="AP132" s="25">
        <v>8</v>
      </c>
      <c r="BJ132" s="40">
        <v>7338509</v>
      </c>
      <c r="BK132" s="40">
        <f>VLOOKUP(M132,[1]EconBenMult!$B$12:$D$14,2,TRUE)*(BJ132/1000000)</f>
        <v>56.946829839999999</v>
      </c>
      <c r="BL132" s="31">
        <f>VLOOKUP(M132,[1]EconBenMult!$B$12:$D$14,3,TRUE)*(BJ132/1000000)</f>
        <v>3142555.32559236</v>
      </c>
    </row>
    <row r="133" spans="1:68" ht="15" customHeight="1" x14ac:dyDescent="0.2">
      <c r="A133" s="34">
        <v>40887</v>
      </c>
      <c r="B133" s="24">
        <v>2011</v>
      </c>
      <c r="C133" s="24" t="s">
        <v>181</v>
      </c>
      <c r="D133" s="25" t="s">
        <v>758</v>
      </c>
      <c r="E133" s="25" t="s">
        <v>759</v>
      </c>
      <c r="F133" s="25" t="s">
        <v>759</v>
      </c>
      <c r="G133" s="26">
        <v>59225</v>
      </c>
      <c r="J133" s="25" t="s">
        <v>457</v>
      </c>
      <c r="K133" s="28">
        <v>0.09</v>
      </c>
      <c r="L133" s="24" t="s">
        <v>188</v>
      </c>
      <c r="M133" s="25" t="s">
        <v>95</v>
      </c>
      <c r="N133" s="24" t="s">
        <v>62</v>
      </c>
      <c r="O133" s="29">
        <v>24</v>
      </c>
      <c r="P133" s="24">
        <v>24</v>
      </c>
      <c r="Q133" s="30">
        <v>6144010</v>
      </c>
      <c r="R133" s="30">
        <v>4730426</v>
      </c>
      <c r="S133" s="30"/>
      <c r="T133" s="30"/>
      <c r="W133" s="34">
        <v>41306</v>
      </c>
      <c r="Y133" s="34">
        <f t="shared" si="25"/>
        <v>41306</v>
      </c>
      <c r="Z133" s="35">
        <f t="shared" si="26"/>
        <v>46419</v>
      </c>
      <c r="AA133" s="36">
        <v>31</v>
      </c>
      <c r="AB133" s="35">
        <f t="shared" si="28"/>
        <v>57742</v>
      </c>
      <c r="AC133" s="25" t="s">
        <v>760</v>
      </c>
      <c r="AD133" s="25" t="s">
        <v>761</v>
      </c>
      <c r="AE133" s="25" t="s">
        <v>762</v>
      </c>
      <c r="AF133" s="25" t="s">
        <v>763</v>
      </c>
      <c r="AG133" s="25" t="s">
        <v>67</v>
      </c>
      <c r="AH133" s="25">
        <v>59225</v>
      </c>
      <c r="AI133" s="37"/>
      <c r="AJ133" s="25" t="s">
        <v>764</v>
      </c>
      <c r="AK133" s="109"/>
      <c r="AL133" s="110">
        <v>24</v>
      </c>
      <c r="AQ133" s="25">
        <v>15</v>
      </c>
      <c r="AR133" s="25">
        <v>9</v>
      </c>
      <c r="BJ133" s="40">
        <v>6160527</v>
      </c>
      <c r="BK133" s="40">
        <f>VLOOKUP(M133,[1]EconBenMult!$B$12:$D$14,2,TRUE)*(BJ133/1000000)</f>
        <v>74.111139809999997</v>
      </c>
      <c r="BL133" s="31">
        <f>VLOOKUP(M133,[1]EconBenMult!$B$12:$D$14,3,TRUE)*(BJ133/1000000)</f>
        <v>4307618.2096039504</v>
      </c>
    </row>
    <row r="134" spans="1:68" ht="15" customHeight="1" x14ac:dyDescent="0.2">
      <c r="A134" s="34">
        <v>40520</v>
      </c>
      <c r="B134" s="24">
        <v>2010</v>
      </c>
      <c r="C134" s="24" t="s">
        <v>181</v>
      </c>
      <c r="D134" s="25" t="s">
        <v>765</v>
      </c>
      <c r="E134" s="25" t="s">
        <v>766</v>
      </c>
      <c r="F134" s="25" t="s">
        <v>108</v>
      </c>
      <c r="G134" s="26">
        <v>59801</v>
      </c>
      <c r="J134" s="25" t="s">
        <v>108</v>
      </c>
      <c r="K134" s="28">
        <v>0.09</v>
      </c>
      <c r="L134" s="24" t="s">
        <v>767</v>
      </c>
      <c r="M134" s="25" t="s">
        <v>61</v>
      </c>
      <c r="N134" s="24" t="s">
        <v>62</v>
      </c>
      <c r="O134" s="110">
        <v>60</v>
      </c>
      <c r="P134" s="24">
        <v>5</v>
      </c>
      <c r="Q134" s="31">
        <v>5848280</v>
      </c>
      <c r="R134" s="31"/>
      <c r="S134" s="31"/>
      <c r="T134" s="31"/>
      <c r="W134" s="34">
        <v>40535</v>
      </c>
      <c r="Y134" s="34">
        <f t="shared" si="25"/>
        <v>40535</v>
      </c>
      <c r="Z134" s="35">
        <f t="shared" si="26"/>
        <v>45649</v>
      </c>
      <c r="AA134" s="36">
        <v>35</v>
      </c>
      <c r="AB134" s="35">
        <f t="shared" si="28"/>
        <v>58432</v>
      </c>
      <c r="AC134" s="111" t="s">
        <v>768</v>
      </c>
      <c r="AD134" s="111" t="s">
        <v>769</v>
      </c>
      <c r="AE134" s="111" t="s">
        <v>770</v>
      </c>
      <c r="AF134" s="111" t="s">
        <v>771</v>
      </c>
      <c r="AG134" s="111" t="s">
        <v>89</v>
      </c>
      <c r="AH134" s="25">
        <v>95110</v>
      </c>
      <c r="AI134" s="37"/>
      <c r="AJ134" s="111" t="s">
        <v>772</v>
      </c>
      <c r="AK134" s="109"/>
      <c r="AL134" s="110">
        <v>60</v>
      </c>
      <c r="AN134" s="110"/>
      <c r="AO134" s="110">
        <v>12</v>
      </c>
      <c r="AP134" s="110">
        <v>36</v>
      </c>
      <c r="AQ134" s="110">
        <v>12</v>
      </c>
      <c r="AR134" s="110" t="s">
        <v>683</v>
      </c>
      <c r="AS134" s="110"/>
      <c r="AT134" s="110"/>
      <c r="AU134" s="110" t="s">
        <v>683</v>
      </c>
      <c r="BJ134" s="40">
        <v>5789502</v>
      </c>
      <c r="BK134" s="40">
        <f>VLOOKUP(M134,[1]EconBenMult!$B$12:$D$14,2,TRUE)*(BJ134/1000000)</f>
        <v>44.926535519999995</v>
      </c>
      <c r="BL134" s="31">
        <f>VLOOKUP(M134,[1]EconBenMult!$B$12:$D$14,3,TRUE)*(BJ134/1000000)</f>
        <v>2479227.0940360799</v>
      </c>
    </row>
    <row r="135" spans="1:68" ht="15" customHeight="1" x14ac:dyDescent="0.2">
      <c r="A135" s="89">
        <v>40520</v>
      </c>
      <c r="B135" s="86">
        <v>2010</v>
      </c>
      <c r="C135" s="86" t="s">
        <v>680</v>
      </c>
      <c r="D135" s="87" t="s">
        <v>773</v>
      </c>
      <c r="E135" s="87" t="s">
        <v>658</v>
      </c>
      <c r="F135" s="87" t="s">
        <v>108</v>
      </c>
      <c r="G135" s="90">
        <v>59801</v>
      </c>
      <c r="H135" s="91"/>
      <c r="I135" s="91"/>
      <c r="J135" s="87" t="s">
        <v>108</v>
      </c>
      <c r="K135" s="93">
        <v>0.09</v>
      </c>
      <c r="L135" s="86" t="s">
        <v>411</v>
      </c>
      <c r="M135" s="87" t="s">
        <v>95</v>
      </c>
      <c r="N135" s="86" t="s">
        <v>577</v>
      </c>
      <c r="O135" s="112" t="s">
        <v>683</v>
      </c>
      <c r="P135" s="86"/>
      <c r="Q135" s="113" t="s">
        <v>683</v>
      </c>
      <c r="R135" s="113"/>
      <c r="S135" s="113"/>
      <c r="T135" s="113"/>
      <c r="U135" s="114"/>
      <c r="V135" s="115"/>
      <c r="Y135" s="34">
        <f t="shared" si="25"/>
        <v>0</v>
      </c>
      <c r="AA135" s="99"/>
      <c r="AC135" s="116" t="s">
        <v>774</v>
      </c>
      <c r="AD135" s="116" t="s">
        <v>775</v>
      </c>
      <c r="AE135" s="116" t="s">
        <v>776</v>
      </c>
      <c r="AF135" s="116" t="s">
        <v>108</v>
      </c>
      <c r="AG135" s="116" t="s">
        <v>67</v>
      </c>
      <c r="AH135" s="87">
        <v>59803</v>
      </c>
      <c r="AI135" s="37"/>
      <c r="AJ135" s="116" t="s">
        <v>714</v>
      </c>
      <c r="AK135" s="117"/>
      <c r="AL135" s="112">
        <v>36</v>
      </c>
      <c r="AM135" s="87"/>
      <c r="AN135" s="112"/>
      <c r="AO135" s="112">
        <v>25</v>
      </c>
      <c r="AP135" s="112">
        <v>10</v>
      </c>
      <c r="AQ135" s="112" t="s">
        <v>683</v>
      </c>
      <c r="AR135" s="112"/>
      <c r="AS135" s="112"/>
      <c r="AT135" s="112"/>
      <c r="AU135" s="112"/>
      <c r="AV135" s="87">
        <v>1</v>
      </c>
      <c r="BJ135" s="40" t="s">
        <v>683</v>
      </c>
      <c r="BK135" s="40" t="e">
        <f>VLOOKUP(M135,[1]EconBenMult!$B$12:$D$14,2,TRUE)*(BJ135/1000000)</f>
        <v>#VALUE!</v>
      </c>
      <c r="BL135" s="31" t="e">
        <f>VLOOKUP(M135,[1]EconBenMult!$B$12:$D$14,3,TRUE)*(BJ135/1000000)</f>
        <v>#VALUE!</v>
      </c>
    </row>
    <row r="136" spans="1:68" ht="15" customHeight="1" x14ac:dyDescent="0.2">
      <c r="A136" s="34">
        <v>40520</v>
      </c>
      <c r="B136" s="24">
        <v>2010</v>
      </c>
      <c r="C136" s="24" t="s">
        <v>181</v>
      </c>
      <c r="D136" s="25" t="s">
        <v>777</v>
      </c>
      <c r="E136" s="25" t="s">
        <v>778</v>
      </c>
      <c r="F136" s="25" t="s">
        <v>108</v>
      </c>
      <c r="G136" s="26">
        <v>59801</v>
      </c>
      <c r="J136" s="25" t="s">
        <v>108</v>
      </c>
      <c r="K136" s="28">
        <v>0.09</v>
      </c>
      <c r="L136" s="24" t="s">
        <v>74</v>
      </c>
      <c r="M136" s="25" t="s">
        <v>95</v>
      </c>
      <c r="N136" s="24" t="s">
        <v>62</v>
      </c>
      <c r="O136" s="110" t="s">
        <v>683</v>
      </c>
      <c r="P136" s="24" t="s">
        <v>683</v>
      </c>
      <c r="Q136" s="31">
        <v>5000000</v>
      </c>
      <c r="R136" s="31"/>
      <c r="S136" s="31"/>
      <c r="T136" s="31"/>
      <c r="W136" s="34">
        <v>40847</v>
      </c>
      <c r="Y136" s="34">
        <f t="shared" si="25"/>
        <v>40847</v>
      </c>
      <c r="Z136" s="35">
        <f t="shared" si="26"/>
        <v>45961</v>
      </c>
      <c r="AA136" s="36">
        <v>31</v>
      </c>
      <c r="AB136" s="35">
        <f t="shared" ref="AB136:AB149" si="29">DATE(YEAR(Z136)+AA136,MONTH(Z136),DAY(Z136))</f>
        <v>57284</v>
      </c>
      <c r="AC136" s="111" t="s">
        <v>779</v>
      </c>
      <c r="AD136" s="111" t="s">
        <v>417</v>
      </c>
      <c r="AE136" s="111" t="s">
        <v>780</v>
      </c>
      <c r="AF136" s="111" t="s">
        <v>108</v>
      </c>
      <c r="AG136" s="111" t="s">
        <v>67</v>
      </c>
      <c r="AH136" s="25">
        <v>59802</v>
      </c>
      <c r="AI136" s="37"/>
      <c r="AJ136" s="111" t="s">
        <v>781</v>
      </c>
      <c r="AK136" s="109"/>
      <c r="AL136" s="110" t="s">
        <v>683</v>
      </c>
      <c r="AN136" s="110" t="s">
        <v>683</v>
      </c>
      <c r="AO136" s="110" t="s">
        <v>683</v>
      </c>
      <c r="AP136" s="110" t="s">
        <v>683</v>
      </c>
      <c r="AQ136" s="110" t="s">
        <v>683</v>
      </c>
      <c r="AR136" s="110" t="s">
        <v>683</v>
      </c>
      <c r="AS136" s="110" t="s">
        <v>683</v>
      </c>
      <c r="AT136" s="110"/>
      <c r="AU136" s="110" t="s">
        <v>683</v>
      </c>
      <c r="BJ136" s="40">
        <v>8200589</v>
      </c>
      <c r="BK136" s="40">
        <f>VLOOKUP(M136,[1]EconBenMult!$B$12:$D$14,2,TRUE)*(BJ136/1000000)</f>
        <v>98.65308567000001</v>
      </c>
      <c r="BL136" s="31">
        <f>VLOOKUP(M136,[1]EconBenMult!$B$12:$D$14,3,TRUE)*(BJ136/1000000)</f>
        <v>5734088.4157926505</v>
      </c>
    </row>
    <row r="137" spans="1:68" s="87" customFormat="1" ht="15" customHeight="1" x14ac:dyDescent="0.2">
      <c r="A137" s="34">
        <v>40520</v>
      </c>
      <c r="B137" s="24">
        <v>2010</v>
      </c>
      <c r="C137" s="24" t="s">
        <v>181</v>
      </c>
      <c r="D137" s="25" t="s">
        <v>782</v>
      </c>
      <c r="E137" s="25" t="s">
        <v>783</v>
      </c>
      <c r="F137" s="25" t="s">
        <v>210</v>
      </c>
      <c r="G137" s="26">
        <v>59701</v>
      </c>
      <c r="H137" s="27"/>
      <c r="I137" s="27"/>
      <c r="J137" s="25" t="s">
        <v>735</v>
      </c>
      <c r="K137" s="28">
        <v>0.09</v>
      </c>
      <c r="L137" s="24" t="s">
        <v>411</v>
      </c>
      <c r="M137" s="25" t="s">
        <v>95</v>
      </c>
      <c r="N137" s="24" t="s">
        <v>628</v>
      </c>
      <c r="O137" s="110">
        <v>48</v>
      </c>
      <c r="P137" s="24">
        <v>1</v>
      </c>
      <c r="Q137" s="31">
        <v>6069250</v>
      </c>
      <c r="R137" s="31"/>
      <c r="S137" s="31"/>
      <c r="T137" s="31"/>
      <c r="U137" s="32"/>
      <c r="V137" s="33"/>
      <c r="W137" s="34">
        <v>40814</v>
      </c>
      <c r="X137" s="34"/>
      <c r="Y137" s="34">
        <f t="shared" si="25"/>
        <v>40814</v>
      </c>
      <c r="Z137" s="35">
        <f t="shared" si="26"/>
        <v>45928</v>
      </c>
      <c r="AA137" s="36">
        <v>31</v>
      </c>
      <c r="AB137" s="35">
        <f t="shared" si="29"/>
        <v>57251</v>
      </c>
      <c r="AC137" s="111" t="s">
        <v>784</v>
      </c>
      <c r="AD137" s="111" t="s">
        <v>785</v>
      </c>
      <c r="AE137" s="111" t="s">
        <v>786</v>
      </c>
      <c r="AF137" s="111" t="s">
        <v>210</v>
      </c>
      <c r="AG137" s="111" t="s">
        <v>67</v>
      </c>
      <c r="AH137" s="25">
        <v>59701</v>
      </c>
      <c r="AI137" s="37"/>
      <c r="AJ137" s="111" t="s">
        <v>787</v>
      </c>
      <c r="AK137" s="109"/>
      <c r="AL137" s="110">
        <v>48</v>
      </c>
      <c r="AM137" s="25"/>
      <c r="AN137" s="110"/>
      <c r="AO137" s="110">
        <v>32</v>
      </c>
      <c r="AP137" s="110">
        <v>15</v>
      </c>
      <c r="AQ137" s="110" t="s">
        <v>683</v>
      </c>
      <c r="AR137" s="110" t="s">
        <v>683</v>
      </c>
      <c r="AS137" s="110"/>
      <c r="AT137" s="110"/>
      <c r="AU137" s="110"/>
      <c r="AV137" s="25">
        <v>1</v>
      </c>
      <c r="AW137" s="86"/>
      <c r="AX137" s="86"/>
      <c r="AY137" s="86"/>
      <c r="AZ137" s="86"/>
      <c r="BA137" s="86"/>
      <c r="BB137" s="86"/>
      <c r="BC137" s="86"/>
      <c r="BD137" s="86"/>
      <c r="BE137" s="86"/>
      <c r="BJ137" s="40">
        <v>6714311</v>
      </c>
      <c r="BK137" s="40">
        <f>VLOOKUP(M137,[1]EconBenMult!$B$12:$D$14,2,TRUE)*(BJ137/1000000)</f>
        <v>80.773161329999994</v>
      </c>
      <c r="BL137" s="31">
        <f>VLOOKUP(M137,[1]EconBenMult!$B$12:$D$14,3,TRUE)*(BJ137/1000000)</f>
        <v>4694839.9590723505</v>
      </c>
      <c r="BM137" s="40"/>
      <c r="BN137" s="40"/>
      <c r="BO137" s="40"/>
      <c r="BP137" s="40"/>
    </row>
    <row r="138" spans="1:68" ht="15" customHeight="1" x14ac:dyDescent="0.2">
      <c r="A138" s="34">
        <v>40520</v>
      </c>
      <c r="B138" s="24">
        <v>2010</v>
      </c>
      <c r="C138" s="24" t="s">
        <v>181</v>
      </c>
      <c r="D138" s="25" t="s">
        <v>788</v>
      </c>
      <c r="E138" s="25" t="s">
        <v>789</v>
      </c>
      <c r="F138" s="25" t="s">
        <v>145</v>
      </c>
      <c r="G138" s="26">
        <v>59501</v>
      </c>
      <c r="J138" s="25" t="s">
        <v>146</v>
      </c>
      <c r="K138" s="28">
        <v>0.09</v>
      </c>
      <c r="L138" s="24" t="s">
        <v>74</v>
      </c>
      <c r="M138" s="25" t="s">
        <v>95</v>
      </c>
      <c r="N138" s="24" t="s">
        <v>577</v>
      </c>
      <c r="O138" s="110">
        <v>20</v>
      </c>
      <c r="P138" s="24">
        <v>4</v>
      </c>
      <c r="Q138" s="31">
        <v>4850000</v>
      </c>
      <c r="R138" s="31"/>
      <c r="S138" s="31"/>
      <c r="T138" s="31"/>
      <c r="W138" s="34">
        <v>41135</v>
      </c>
      <c r="Y138" s="34">
        <f t="shared" si="25"/>
        <v>41135</v>
      </c>
      <c r="Z138" s="35">
        <f t="shared" si="26"/>
        <v>46248</v>
      </c>
      <c r="AA138" s="36">
        <v>31</v>
      </c>
      <c r="AB138" s="35">
        <f t="shared" si="29"/>
        <v>57571</v>
      </c>
      <c r="AC138" s="111" t="s">
        <v>790</v>
      </c>
      <c r="AD138" s="111" t="s">
        <v>610</v>
      </c>
      <c r="AE138" s="111" t="s">
        <v>791</v>
      </c>
      <c r="AF138" s="111" t="s">
        <v>145</v>
      </c>
      <c r="AG138" s="111" t="s">
        <v>67</v>
      </c>
      <c r="AH138" s="25">
        <v>59501</v>
      </c>
      <c r="AI138" s="37"/>
      <c r="AJ138" s="111" t="s">
        <v>792</v>
      </c>
      <c r="AK138" s="109"/>
      <c r="AL138" s="110">
        <v>20</v>
      </c>
      <c r="AN138" s="110"/>
      <c r="AO138" s="110">
        <v>16</v>
      </c>
      <c r="AP138" s="110">
        <v>4</v>
      </c>
      <c r="AQ138" s="110" t="s">
        <v>683</v>
      </c>
      <c r="AR138" s="110"/>
      <c r="AS138" s="110"/>
      <c r="AT138" s="110"/>
      <c r="AU138" s="110"/>
      <c r="BJ138" s="40">
        <v>2872069</v>
      </c>
      <c r="BK138" s="40">
        <f>VLOOKUP(M138,[1]EconBenMult!$B$12:$D$14,2,TRUE)*(BJ138/1000000)</f>
        <v>34.550990069999997</v>
      </c>
      <c r="BL138" s="31">
        <f>VLOOKUP(M138,[1]EconBenMult!$B$12:$D$14,3,TRUE)*(BJ138/1000000)</f>
        <v>2008233.5039906502</v>
      </c>
    </row>
    <row r="139" spans="1:68" s="87" customFormat="1" ht="15" customHeight="1" x14ac:dyDescent="0.2">
      <c r="A139" s="34">
        <v>40520</v>
      </c>
      <c r="B139" s="24">
        <v>2010</v>
      </c>
      <c r="C139" s="24" t="s">
        <v>181</v>
      </c>
      <c r="D139" s="25" t="s">
        <v>793</v>
      </c>
      <c r="E139" s="25" t="s">
        <v>794</v>
      </c>
      <c r="F139" s="25" t="s">
        <v>795</v>
      </c>
      <c r="G139" s="26">
        <v>59847</v>
      </c>
      <c r="H139" s="27"/>
      <c r="I139" s="27"/>
      <c r="J139" s="25" t="s">
        <v>108</v>
      </c>
      <c r="K139" s="28">
        <v>0.09</v>
      </c>
      <c r="L139" s="24" t="s">
        <v>411</v>
      </c>
      <c r="M139" s="25" t="s">
        <v>95</v>
      </c>
      <c r="N139" s="24" t="s">
        <v>62</v>
      </c>
      <c r="O139" s="110">
        <v>40</v>
      </c>
      <c r="P139" s="24">
        <v>2</v>
      </c>
      <c r="Q139" s="31">
        <v>6075000</v>
      </c>
      <c r="R139" s="31"/>
      <c r="S139" s="31"/>
      <c r="T139" s="31"/>
      <c r="U139" s="32"/>
      <c r="V139" s="33"/>
      <c r="W139" s="34">
        <v>40752</v>
      </c>
      <c r="X139" s="34"/>
      <c r="Y139" s="34">
        <f t="shared" si="25"/>
        <v>40752</v>
      </c>
      <c r="Z139" s="35">
        <f t="shared" si="26"/>
        <v>45866</v>
      </c>
      <c r="AA139" s="36">
        <v>31</v>
      </c>
      <c r="AB139" s="35">
        <f t="shared" si="29"/>
        <v>57189</v>
      </c>
      <c r="AC139" s="111" t="s">
        <v>796</v>
      </c>
      <c r="AD139" s="111" t="s">
        <v>797</v>
      </c>
      <c r="AE139" s="111" t="s">
        <v>798</v>
      </c>
      <c r="AF139" s="111" t="s">
        <v>108</v>
      </c>
      <c r="AG139" s="111" t="s">
        <v>67</v>
      </c>
      <c r="AH139" s="25">
        <v>59802</v>
      </c>
      <c r="AI139" s="37"/>
      <c r="AJ139" s="118" t="s">
        <v>799</v>
      </c>
      <c r="AK139" s="109"/>
      <c r="AL139" s="110">
        <v>40</v>
      </c>
      <c r="AM139" s="25"/>
      <c r="AN139" s="110"/>
      <c r="AO139" s="110" t="s">
        <v>683</v>
      </c>
      <c r="AP139" s="110">
        <v>20</v>
      </c>
      <c r="AQ139" s="110">
        <v>20</v>
      </c>
      <c r="AR139" s="111"/>
      <c r="AS139" s="111"/>
      <c r="AT139" s="111"/>
      <c r="AU139" s="111"/>
      <c r="AV139" s="25"/>
      <c r="AW139" s="86"/>
      <c r="AX139" s="86"/>
      <c r="AY139" s="86"/>
      <c r="AZ139" s="86"/>
      <c r="BA139" s="86"/>
      <c r="BB139" s="86"/>
      <c r="BC139" s="86"/>
      <c r="BD139" s="86"/>
      <c r="BE139" s="86"/>
      <c r="BJ139" s="40">
        <v>6222845</v>
      </c>
      <c r="BK139" s="40">
        <f>VLOOKUP(M139,[1]EconBenMult!$B$12:$D$14,2,TRUE)*(BJ139/1000000)</f>
        <v>74.860825349999999</v>
      </c>
      <c r="BL139" s="31">
        <f>VLOOKUP(M139,[1]EconBenMult!$B$12:$D$14,3,TRUE)*(BJ139/1000000)</f>
        <v>4351192.7530782502</v>
      </c>
      <c r="BM139" s="40"/>
      <c r="BN139" s="40"/>
      <c r="BO139" s="40"/>
      <c r="BP139" s="40"/>
    </row>
    <row r="140" spans="1:68" s="87" customFormat="1" ht="15" customHeight="1" x14ac:dyDescent="0.2">
      <c r="A140" s="34"/>
      <c r="B140" s="24">
        <v>2009</v>
      </c>
      <c r="C140" s="24" t="s">
        <v>181</v>
      </c>
      <c r="D140" s="25" t="s">
        <v>800</v>
      </c>
      <c r="E140" s="25" t="s">
        <v>801</v>
      </c>
      <c r="F140" s="25" t="s">
        <v>802</v>
      </c>
      <c r="G140" s="26">
        <v>59632</v>
      </c>
      <c r="H140" s="27"/>
      <c r="I140" s="27"/>
      <c r="J140" s="25" t="s">
        <v>803</v>
      </c>
      <c r="K140" s="25" t="s">
        <v>804</v>
      </c>
      <c r="L140" s="24" t="s">
        <v>74</v>
      </c>
      <c r="M140" s="25" t="s">
        <v>95</v>
      </c>
      <c r="N140" s="24" t="s">
        <v>62</v>
      </c>
      <c r="O140" s="24">
        <v>36</v>
      </c>
      <c r="P140" s="24">
        <v>2</v>
      </c>
      <c r="Q140" s="105">
        <v>10000</v>
      </c>
      <c r="R140" s="105"/>
      <c r="S140" s="105"/>
      <c r="T140" s="105"/>
      <c r="U140" s="106"/>
      <c r="V140" s="107"/>
      <c r="W140" s="34">
        <v>40632</v>
      </c>
      <c r="X140" s="34"/>
      <c r="Y140" s="34">
        <f t="shared" si="25"/>
        <v>40632</v>
      </c>
      <c r="Z140" s="35">
        <f t="shared" si="26"/>
        <v>45746</v>
      </c>
      <c r="AA140" s="36">
        <v>31</v>
      </c>
      <c r="AB140" s="35">
        <f t="shared" si="29"/>
        <v>57069</v>
      </c>
      <c r="AC140" s="25" t="s">
        <v>805</v>
      </c>
      <c r="AD140" s="25" t="s">
        <v>806</v>
      </c>
      <c r="AE140" s="25" t="s">
        <v>807</v>
      </c>
      <c r="AF140" s="25" t="s">
        <v>808</v>
      </c>
      <c r="AG140" s="25" t="s">
        <v>67</v>
      </c>
      <c r="AH140" s="25">
        <v>59645</v>
      </c>
      <c r="AI140" s="37"/>
      <c r="AJ140" s="25" t="s">
        <v>809</v>
      </c>
      <c r="AK140" s="42"/>
      <c r="AL140" s="24">
        <v>10</v>
      </c>
      <c r="AM140" s="25"/>
      <c r="AN140" s="25"/>
      <c r="AO140" s="25"/>
      <c r="AP140" s="25">
        <v>8</v>
      </c>
      <c r="AQ140" s="25">
        <v>2</v>
      </c>
      <c r="AR140" s="25"/>
      <c r="AS140" s="25"/>
      <c r="AT140" s="25"/>
      <c r="AU140" s="25"/>
      <c r="AV140" s="25"/>
      <c r="AW140" s="86"/>
      <c r="AX140" s="86"/>
      <c r="AY140" s="86"/>
      <c r="AZ140" s="86"/>
      <c r="BA140" s="86"/>
      <c r="BB140" s="86"/>
      <c r="BC140" s="86"/>
      <c r="BD140" s="86"/>
      <c r="BE140" s="86"/>
      <c r="BJ140" s="40">
        <v>2872069</v>
      </c>
      <c r="BK140" s="40">
        <f>VLOOKUP(M140,[1]EconBenMult!$B$12:$D$14,2,TRUE)*(BJ140/1000000)</f>
        <v>34.550990069999997</v>
      </c>
      <c r="BL140" s="31">
        <f>VLOOKUP(M140,[1]EconBenMult!$B$12:$D$14,3,TRUE)*(BJ140/1000000)</f>
        <v>2008233.5039906502</v>
      </c>
      <c r="BM140" s="40"/>
      <c r="BN140" s="40"/>
      <c r="BO140" s="40"/>
      <c r="BP140" s="40"/>
    </row>
    <row r="141" spans="1:68" ht="15" customHeight="1" x14ac:dyDescent="0.2">
      <c r="A141" s="34">
        <v>40157</v>
      </c>
      <c r="B141" s="24">
        <v>2009</v>
      </c>
      <c r="C141" s="24" t="s">
        <v>181</v>
      </c>
      <c r="D141" s="25" t="s">
        <v>777</v>
      </c>
      <c r="E141" s="25" t="s">
        <v>810</v>
      </c>
      <c r="F141" s="25" t="s">
        <v>108</v>
      </c>
      <c r="G141" s="26">
        <v>59808</v>
      </c>
      <c r="J141" s="25" t="s">
        <v>108</v>
      </c>
      <c r="K141" s="25" t="s">
        <v>811</v>
      </c>
      <c r="L141" s="24" t="s">
        <v>812</v>
      </c>
      <c r="M141" s="25" t="s">
        <v>95</v>
      </c>
      <c r="N141" s="24" t="s">
        <v>62</v>
      </c>
      <c r="O141" s="24">
        <v>34</v>
      </c>
      <c r="P141" s="24">
        <v>1</v>
      </c>
      <c r="Q141" s="105">
        <v>0</v>
      </c>
      <c r="R141" s="105"/>
      <c r="S141" s="105"/>
      <c r="T141" s="105"/>
      <c r="U141" s="106"/>
      <c r="V141" s="107"/>
      <c r="W141" s="34">
        <v>40847</v>
      </c>
      <c r="Y141" s="34">
        <f t="shared" si="25"/>
        <v>40847</v>
      </c>
      <c r="Z141" s="35">
        <f t="shared" si="26"/>
        <v>45961</v>
      </c>
      <c r="AA141" s="36">
        <v>31</v>
      </c>
      <c r="AB141" s="35">
        <f t="shared" si="29"/>
        <v>57284</v>
      </c>
      <c r="AC141" s="25" t="s">
        <v>664</v>
      </c>
      <c r="AD141" s="25" t="s">
        <v>665</v>
      </c>
      <c r="AE141" s="25" t="s">
        <v>813</v>
      </c>
      <c r="AF141" s="25" t="s">
        <v>666</v>
      </c>
      <c r="AG141" s="25" t="s">
        <v>67</v>
      </c>
      <c r="AH141" s="25" t="s">
        <v>814</v>
      </c>
      <c r="AI141" s="37"/>
      <c r="AJ141" s="57" t="s">
        <v>667</v>
      </c>
      <c r="AL141" s="24">
        <v>36</v>
      </c>
      <c r="AO141" s="25">
        <v>18</v>
      </c>
      <c r="AP141" s="24">
        <v>18</v>
      </c>
      <c r="AQ141" s="24"/>
      <c r="AV141" s="24"/>
      <c r="BJ141" s="40">
        <v>7691408</v>
      </c>
      <c r="BK141" s="40">
        <f>VLOOKUP(M141,[1]EconBenMult!$B$12:$D$14,2,TRUE)*(BJ141/1000000)</f>
        <v>92.527638240000002</v>
      </c>
      <c r="BL141" s="31">
        <f>VLOOKUP(M141,[1]EconBenMult!$B$12:$D$14,3,TRUE)*(BJ141/1000000)</f>
        <v>5378054.3707208</v>
      </c>
    </row>
    <row r="142" spans="1:68" s="87" customFormat="1" ht="15" customHeight="1" x14ac:dyDescent="0.2">
      <c r="A142" s="34">
        <v>40157</v>
      </c>
      <c r="B142" s="24">
        <v>2009</v>
      </c>
      <c r="C142" s="24" t="s">
        <v>181</v>
      </c>
      <c r="D142" s="25" t="s">
        <v>815</v>
      </c>
      <c r="E142" s="25" t="s">
        <v>816</v>
      </c>
      <c r="F142" s="25" t="s">
        <v>237</v>
      </c>
      <c r="G142" s="26">
        <v>59457</v>
      </c>
      <c r="H142" s="27">
        <v>47.069209999999998</v>
      </c>
      <c r="I142" s="27">
        <v>-109.41952999999999</v>
      </c>
      <c r="J142" s="25" t="s">
        <v>238</v>
      </c>
      <c r="K142" s="25" t="s">
        <v>811</v>
      </c>
      <c r="L142" s="24" t="s">
        <v>74</v>
      </c>
      <c r="M142" s="25" t="s">
        <v>95</v>
      </c>
      <c r="N142" s="24" t="s">
        <v>62</v>
      </c>
      <c r="O142" s="24">
        <v>24</v>
      </c>
      <c r="P142" s="24">
        <v>3</v>
      </c>
      <c r="Q142" s="105">
        <v>0</v>
      </c>
      <c r="R142" s="105"/>
      <c r="S142" s="105"/>
      <c r="T142" s="105"/>
      <c r="U142" s="106"/>
      <c r="V142" s="107"/>
      <c r="W142" s="34">
        <v>40436</v>
      </c>
      <c r="X142" s="34"/>
      <c r="Y142" s="34">
        <f t="shared" si="25"/>
        <v>40436</v>
      </c>
      <c r="Z142" s="35">
        <f t="shared" si="26"/>
        <v>45550</v>
      </c>
      <c r="AA142" s="36">
        <v>31</v>
      </c>
      <c r="AB142" s="35">
        <f t="shared" si="29"/>
        <v>56872</v>
      </c>
      <c r="AC142" s="25" t="s">
        <v>817</v>
      </c>
      <c r="AD142" s="25" t="s">
        <v>818</v>
      </c>
      <c r="AE142" s="25" t="s">
        <v>819</v>
      </c>
      <c r="AF142" s="25" t="s">
        <v>745</v>
      </c>
      <c r="AG142" s="25" t="s">
        <v>67</v>
      </c>
      <c r="AH142" s="25">
        <v>59802</v>
      </c>
      <c r="AI142" s="37"/>
      <c r="AJ142" s="57" t="s">
        <v>820</v>
      </c>
      <c r="AK142" s="42"/>
      <c r="AL142" s="24">
        <v>34</v>
      </c>
      <c r="AM142" s="25"/>
      <c r="AN142" s="25">
        <v>4</v>
      </c>
      <c r="AO142" s="25">
        <v>19</v>
      </c>
      <c r="AP142" s="24">
        <v>11</v>
      </c>
      <c r="AQ142" s="24"/>
      <c r="AR142" s="25"/>
      <c r="AS142" s="25"/>
      <c r="AT142" s="25"/>
      <c r="AU142" s="25"/>
      <c r="AV142" s="24"/>
      <c r="AW142" s="86"/>
      <c r="AX142" s="86"/>
      <c r="AY142" s="86"/>
      <c r="AZ142" s="86"/>
      <c r="BA142" s="86"/>
      <c r="BB142" s="86"/>
      <c r="BC142" s="86"/>
      <c r="BD142" s="86"/>
      <c r="BE142" s="86"/>
      <c r="BJ142" s="40">
        <v>8200558</v>
      </c>
      <c r="BK142" s="40">
        <f>VLOOKUP(M142,[1]EconBenMult!$B$12:$D$14,2,TRUE)*(BJ142/1000000)</f>
        <v>98.652712739999984</v>
      </c>
      <c r="BL142" s="31">
        <f>VLOOKUP(M142,[1]EconBenMult!$B$12:$D$14,3,TRUE)*(BJ142/1000000)</f>
        <v>5734066.7396982992</v>
      </c>
      <c r="BM142" s="40"/>
      <c r="BN142" s="40"/>
      <c r="BO142" s="40"/>
      <c r="BP142" s="40"/>
    </row>
    <row r="143" spans="1:68" ht="15" customHeight="1" x14ac:dyDescent="0.2">
      <c r="A143" s="34">
        <v>40157</v>
      </c>
      <c r="B143" s="24">
        <v>2009</v>
      </c>
      <c r="C143" s="24" t="s">
        <v>181</v>
      </c>
      <c r="D143" s="25" t="s">
        <v>821</v>
      </c>
      <c r="E143" s="25" t="s">
        <v>822</v>
      </c>
      <c r="F143" s="25" t="s">
        <v>83</v>
      </c>
      <c r="G143" s="26">
        <v>59401</v>
      </c>
      <c r="J143" s="25" t="s">
        <v>84</v>
      </c>
      <c r="K143" s="25" t="s">
        <v>811</v>
      </c>
      <c r="L143" s="119" t="s">
        <v>61</v>
      </c>
      <c r="M143" s="25" t="s">
        <v>61</v>
      </c>
      <c r="N143" s="24" t="s">
        <v>62</v>
      </c>
      <c r="O143" s="24">
        <v>40</v>
      </c>
      <c r="P143" s="24">
        <v>2</v>
      </c>
      <c r="Q143" s="105">
        <v>0</v>
      </c>
      <c r="R143" s="105"/>
      <c r="S143" s="105"/>
      <c r="T143" s="105"/>
      <c r="U143" s="106"/>
      <c r="V143" s="107"/>
      <c r="W143" s="34">
        <v>40543</v>
      </c>
      <c r="X143" s="34">
        <v>40522</v>
      </c>
      <c r="Y143" s="34">
        <f t="shared" si="25"/>
        <v>40543</v>
      </c>
      <c r="Z143" s="35">
        <f t="shared" si="26"/>
        <v>45657</v>
      </c>
      <c r="AA143" s="36">
        <v>31</v>
      </c>
      <c r="AB143" s="35">
        <f t="shared" si="29"/>
        <v>56979</v>
      </c>
      <c r="AC143" s="25" t="s">
        <v>823</v>
      </c>
      <c r="AD143" s="25" t="s">
        <v>818</v>
      </c>
      <c r="AE143" s="25" t="s">
        <v>819</v>
      </c>
      <c r="AF143" s="25" t="s">
        <v>745</v>
      </c>
      <c r="AG143" s="25" t="s">
        <v>67</v>
      </c>
      <c r="AH143" s="25">
        <v>59802</v>
      </c>
      <c r="AI143" s="80"/>
      <c r="AJ143" s="57" t="s">
        <v>824</v>
      </c>
      <c r="AL143" s="24">
        <v>24</v>
      </c>
      <c r="AO143" s="25">
        <v>4</v>
      </c>
      <c r="AP143" s="24">
        <v>14</v>
      </c>
      <c r="AQ143" s="24">
        <v>6</v>
      </c>
      <c r="AV143" s="24"/>
      <c r="BJ143" s="40">
        <v>5432616</v>
      </c>
      <c r="BK143" s="40">
        <f>VLOOKUP(M143,[1]EconBenMult!$B$12:$D$14,2,TRUE)*(BJ143/1000000)</f>
        <v>42.157100159999999</v>
      </c>
      <c r="BL143" s="31">
        <f>VLOOKUP(M143,[1]EconBenMult!$B$12:$D$14,3,TRUE)*(BJ143/1000000)</f>
        <v>2326398.5017526401</v>
      </c>
    </row>
    <row r="144" spans="1:68" ht="15" customHeight="1" x14ac:dyDescent="0.2">
      <c r="A144" s="34">
        <v>40157</v>
      </c>
      <c r="B144" s="24">
        <v>2009</v>
      </c>
      <c r="C144" s="24" t="s">
        <v>181</v>
      </c>
      <c r="D144" s="25" t="s">
        <v>825</v>
      </c>
      <c r="E144" s="25" t="s">
        <v>826</v>
      </c>
      <c r="F144" s="25" t="s">
        <v>210</v>
      </c>
      <c r="G144" s="26">
        <v>59701</v>
      </c>
      <c r="J144" s="25" t="s">
        <v>211</v>
      </c>
      <c r="K144" s="25" t="s">
        <v>811</v>
      </c>
      <c r="L144" s="24" t="s">
        <v>725</v>
      </c>
      <c r="M144" s="25" t="s">
        <v>95</v>
      </c>
      <c r="N144" s="24" t="s">
        <v>62</v>
      </c>
      <c r="O144" s="24">
        <v>11</v>
      </c>
      <c r="P144" s="24">
        <v>4</v>
      </c>
      <c r="Q144" s="105">
        <v>0</v>
      </c>
      <c r="R144" s="105"/>
      <c r="S144" s="105"/>
      <c r="T144" s="105"/>
      <c r="U144" s="106"/>
      <c r="V144" s="107"/>
      <c r="W144" s="34">
        <v>40514</v>
      </c>
      <c r="Y144" s="34">
        <f t="shared" si="25"/>
        <v>40514</v>
      </c>
      <c r="Z144" s="35">
        <f t="shared" si="26"/>
        <v>45628</v>
      </c>
      <c r="AA144" s="36">
        <v>31</v>
      </c>
      <c r="AB144" s="35">
        <f t="shared" si="29"/>
        <v>56950</v>
      </c>
      <c r="AC144" s="25" t="s">
        <v>827</v>
      </c>
      <c r="AD144" s="25" t="s">
        <v>828</v>
      </c>
      <c r="AE144" s="25" t="s">
        <v>829</v>
      </c>
      <c r="AF144" s="25" t="s">
        <v>830</v>
      </c>
      <c r="AG144" s="25" t="s">
        <v>452</v>
      </c>
      <c r="AH144" s="25">
        <v>48076</v>
      </c>
      <c r="AI144" s="37"/>
      <c r="AJ144" s="25" t="s">
        <v>831</v>
      </c>
      <c r="AL144" s="24">
        <v>40</v>
      </c>
      <c r="AN144" s="24"/>
      <c r="AO144" s="24"/>
      <c r="AP144" s="24"/>
      <c r="AQ144" s="24">
        <v>40</v>
      </c>
      <c r="AR144" s="24"/>
      <c r="AS144" s="24"/>
      <c r="AT144" s="24"/>
      <c r="AU144" s="24"/>
      <c r="AV144" s="24"/>
      <c r="BJ144" s="40">
        <v>3976200</v>
      </c>
      <c r="BK144" s="40">
        <f>VLOOKUP(M144,[1]EconBenMult!$B$12:$D$14,2,TRUE)*(BJ144/1000000)</f>
        <v>47.833686</v>
      </c>
      <c r="BL144" s="31">
        <f>VLOOKUP(M144,[1]EconBenMult!$B$12:$D$14,3,TRUE)*(BJ144/1000000)</f>
        <v>2780273.75337</v>
      </c>
    </row>
    <row r="145" spans="1:68" ht="15" customHeight="1" x14ac:dyDescent="0.2">
      <c r="A145" s="34">
        <v>40157</v>
      </c>
      <c r="B145" s="24">
        <v>2009</v>
      </c>
      <c r="C145" s="24" t="s">
        <v>181</v>
      </c>
      <c r="D145" s="25" t="s">
        <v>832</v>
      </c>
      <c r="E145" s="25" t="s">
        <v>833</v>
      </c>
      <c r="F145" s="25" t="s">
        <v>113</v>
      </c>
      <c r="G145" s="26">
        <v>59101</v>
      </c>
      <c r="J145" s="25" t="s">
        <v>175</v>
      </c>
      <c r="K145" s="25" t="s">
        <v>834</v>
      </c>
      <c r="L145" s="24" t="s">
        <v>411</v>
      </c>
      <c r="M145" s="25" t="s">
        <v>95</v>
      </c>
      <c r="N145" s="24" t="s">
        <v>62</v>
      </c>
      <c r="O145" s="24">
        <v>32</v>
      </c>
      <c r="P145" s="24">
        <v>8</v>
      </c>
      <c r="Q145" s="105">
        <v>10000</v>
      </c>
      <c r="R145" s="105"/>
      <c r="S145" s="105"/>
      <c r="T145" s="105"/>
      <c r="U145" s="106"/>
      <c r="V145" s="107"/>
      <c r="W145" s="34">
        <v>40690</v>
      </c>
      <c r="Y145" s="34">
        <f t="shared" si="25"/>
        <v>40690</v>
      </c>
      <c r="Z145" s="35">
        <f t="shared" si="26"/>
        <v>45804</v>
      </c>
      <c r="AA145" s="36">
        <v>31</v>
      </c>
      <c r="AB145" s="35">
        <f t="shared" si="29"/>
        <v>57127</v>
      </c>
      <c r="AC145" s="25" t="s">
        <v>835</v>
      </c>
      <c r="AD145" s="25" t="s">
        <v>836</v>
      </c>
      <c r="AE145" s="25" t="s">
        <v>837</v>
      </c>
      <c r="AF145" s="25" t="s">
        <v>210</v>
      </c>
      <c r="AG145" s="25" t="s">
        <v>67</v>
      </c>
      <c r="AH145" s="25">
        <v>59701</v>
      </c>
      <c r="AI145" s="37"/>
      <c r="AJ145" s="25" t="s">
        <v>838</v>
      </c>
      <c r="AL145" s="24">
        <v>11</v>
      </c>
      <c r="AN145" s="24"/>
      <c r="AO145" s="24"/>
      <c r="AP145" s="24">
        <v>9</v>
      </c>
      <c r="AQ145" s="24">
        <v>2</v>
      </c>
      <c r="AR145" s="24"/>
      <c r="AS145" s="24"/>
      <c r="AT145" s="24"/>
      <c r="AU145" s="24"/>
      <c r="AV145" s="24"/>
      <c r="BJ145" s="40">
        <v>2012267</v>
      </c>
      <c r="BK145" s="40">
        <f>VLOOKUP(M145,[1]EconBenMult!$B$12:$D$14,2,TRUE)*(BJ145/1000000)</f>
        <v>24.20757201</v>
      </c>
      <c r="BL145" s="31">
        <f>VLOOKUP(M145,[1]EconBenMult!$B$12:$D$14,3,TRUE)*(BJ145/1000000)</f>
        <v>1407035.1403029501</v>
      </c>
    </row>
    <row r="146" spans="1:68" ht="15" customHeight="1" x14ac:dyDescent="0.2">
      <c r="A146" s="34">
        <v>40157</v>
      </c>
      <c r="B146" s="24">
        <v>2009</v>
      </c>
      <c r="C146" s="24" t="s">
        <v>181</v>
      </c>
      <c r="D146" s="25" t="s">
        <v>839</v>
      </c>
      <c r="E146" s="25" t="s">
        <v>840</v>
      </c>
      <c r="F146" s="25" t="s">
        <v>66</v>
      </c>
      <c r="G146" s="26">
        <v>59901</v>
      </c>
      <c r="J146" s="25" t="s">
        <v>59</v>
      </c>
      <c r="K146" s="25" t="s">
        <v>841</v>
      </c>
      <c r="L146" s="24" t="s">
        <v>411</v>
      </c>
      <c r="M146" s="25" t="s">
        <v>95</v>
      </c>
      <c r="N146" s="24" t="s">
        <v>62</v>
      </c>
      <c r="O146" s="24">
        <v>33</v>
      </c>
      <c r="P146" s="24">
        <v>4</v>
      </c>
      <c r="Q146" s="105">
        <v>6617500</v>
      </c>
      <c r="R146" s="105"/>
      <c r="S146" s="105"/>
      <c r="T146" s="105"/>
      <c r="U146" s="106"/>
      <c r="V146" s="107"/>
      <c r="W146" s="34">
        <v>40613</v>
      </c>
      <c r="Y146" s="34">
        <f t="shared" si="25"/>
        <v>40613</v>
      </c>
      <c r="Z146" s="35">
        <f t="shared" si="26"/>
        <v>45727</v>
      </c>
      <c r="AA146" s="36">
        <v>15</v>
      </c>
      <c r="AB146" s="35">
        <f t="shared" si="29"/>
        <v>51206</v>
      </c>
      <c r="AC146" s="25" t="s">
        <v>842</v>
      </c>
      <c r="AD146" s="25" t="s">
        <v>843</v>
      </c>
      <c r="AE146" s="25" t="s">
        <v>844</v>
      </c>
      <c r="AF146" s="25" t="s">
        <v>745</v>
      </c>
      <c r="AG146" s="25" t="s">
        <v>67</v>
      </c>
      <c r="AH146" s="25">
        <v>59803</v>
      </c>
      <c r="AI146" s="37"/>
      <c r="AJ146" s="25" t="s">
        <v>845</v>
      </c>
      <c r="AL146" s="24">
        <v>33</v>
      </c>
      <c r="AN146" s="24"/>
      <c r="AO146" s="24"/>
      <c r="AP146" s="24">
        <v>20</v>
      </c>
      <c r="AQ146" s="24">
        <v>10</v>
      </c>
      <c r="AR146" s="24">
        <v>2</v>
      </c>
      <c r="AS146" s="24"/>
      <c r="AT146" s="24"/>
      <c r="AU146" s="24"/>
      <c r="AV146" s="24">
        <v>1</v>
      </c>
      <c r="BJ146" s="40">
        <v>7277918</v>
      </c>
      <c r="BK146" s="40">
        <f>VLOOKUP(M146,[1]EconBenMult!$B$12:$D$14,2,TRUE)*(BJ146/1000000)</f>
        <v>87.553353539999989</v>
      </c>
      <c r="BL146" s="31">
        <f>VLOOKUP(M146,[1]EconBenMult!$B$12:$D$14,3,TRUE)*(BJ146/1000000)</f>
        <v>5088930.2335342998</v>
      </c>
    </row>
    <row r="147" spans="1:68" ht="15" customHeight="1" x14ac:dyDescent="0.2">
      <c r="A147" s="34">
        <v>40157</v>
      </c>
      <c r="B147" s="24">
        <v>2009</v>
      </c>
      <c r="C147" s="24" t="s">
        <v>181</v>
      </c>
      <c r="D147" s="25" t="s">
        <v>846</v>
      </c>
      <c r="E147" s="25" t="s">
        <v>847</v>
      </c>
      <c r="F147" s="25" t="s">
        <v>848</v>
      </c>
      <c r="G147" s="26">
        <v>59872</v>
      </c>
      <c r="J147" s="25" t="s">
        <v>741</v>
      </c>
      <c r="K147" s="25" t="s">
        <v>841</v>
      </c>
      <c r="L147" s="24" t="s">
        <v>74</v>
      </c>
      <c r="M147" s="25" t="s">
        <v>95</v>
      </c>
      <c r="N147" s="24" t="s">
        <v>62</v>
      </c>
      <c r="O147" s="24">
        <v>24</v>
      </c>
      <c r="P147" s="24">
        <v>4</v>
      </c>
      <c r="Q147" s="105">
        <v>4662500</v>
      </c>
      <c r="R147" s="105"/>
      <c r="S147" s="105"/>
      <c r="T147" s="105"/>
      <c r="U147" s="106"/>
      <c r="V147" s="107"/>
      <c r="W147" s="34">
        <v>40606</v>
      </c>
      <c r="Y147" s="34">
        <f t="shared" si="25"/>
        <v>40606</v>
      </c>
      <c r="Z147" s="35">
        <f t="shared" si="26"/>
        <v>45720</v>
      </c>
      <c r="AA147" s="36">
        <v>35</v>
      </c>
      <c r="AB147" s="35">
        <f t="shared" si="29"/>
        <v>58504</v>
      </c>
      <c r="AC147" s="25" t="s">
        <v>849</v>
      </c>
      <c r="AD147" s="25" t="s">
        <v>775</v>
      </c>
      <c r="AE147" s="25" t="s">
        <v>850</v>
      </c>
      <c r="AF147" s="25" t="s">
        <v>649</v>
      </c>
      <c r="AG147" s="25" t="s">
        <v>67</v>
      </c>
      <c r="AH147" s="25">
        <v>59803</v>
      </c>
      <c r="AI147" s="37"/>
      <c r="AJ147" s="25" t="s">
        <v>714</v>
      </c>
      <c r="AL147" s="24">
        <v>24</v>
      </c>
      <c r="AN147" s="24"/>
      <c r="AO147" s="24"/>
      <c r="AP147" s="24">
        <v>12</v>
      </c>
      <c r="AQ147" s="24">
        <v>12</v>
      </c>
      <c r="AR147" s="24"/>
      <c r="AS147" s="24"/>
      <c r="AT147" s="24"/>
      <c r="AU147" s="24"/>
      <c r="AV147" s="24"/>
      <c r="BJ147" s="40">
        <v>6528589</v>
      </c>
      <c r="BK147" s="40">
        <f>VLOOKUP(M147,[1]EconBenMult!$B$12:$D$14,2,TRUE)*(BJ147/1000000)</f>
        <v>78.538925669999998</v>
      </c>
      <c r="BL147" s="31">
        <f>VLOOKUP(M147,[1]EconBenMult!$B$12:$D$14,3,TRUE)*(BJ147/1000000)</f>
        <v>4564977.7785926498</v>
      </c>
    </row>
    <row r="148" spans="1:68" ht="15" customHeight="1" x14ac:dyDescent="0.2">
      <c r="A148" s="34">
        <v>40157</v>
      </c>
      <c r="B148" s="24">
        <v>2008</v>
      </c>
      <c r="C148" s="24" t="s">
        <v>181</v>
      </c>
      <c r="D148" s="25" t="s">
        <v>851</v>
      </c>
      <c r="E148" s="25" t="s">
        <v>852</v>
      </c>
      <c r="F148" s="25" t="s">
        <v>66</v>
      </c>
      <c r="G148" s="26">
        <v>59901</v>
      </c>
      <c r="J148" s="25" t="s">
        <v>59</v>
      </c>
      <c r="K148" s="28">
        <v>0.04</v>
      </c>
      <c r="L148" s="24" t="s">
        <v>411</v>
      </c>
      <c r="M148" s="25" t="s">
        <v>61</v>
      </c>
      <c r="N148" s="24" t="s">
        <v>347</v>
      </c>
      <c r="O148" s="29">
        <v>38</v>
      </c>
      <c r="P148" s="24">
        <v>1</v>
      </c>
      <c r="Q148" s="30">
        <v>1179190</v>
      </c>
      <c r="R148" s="30"/>
      <c r="S148" s="30"/>
      <c r="T148" s="30"/>
      <c r="W148" s="34">
        <v>39814</v>
      </c>
      <c r="Y148" s="34">
        <f t="shared" si="25"/>
        <v>39814</v>
      </c>
      <c r="Z148" s="35">
        <f t="shared" si="26"/>
        <v>44927</v>
      </c>
      <c r="AA148" s="36">
        <v>25</v>
      </c>
      <c r="AB148" s="35">
        <f t="shared" si="29"/>
        <v>54058</v>
      </c>
      <c r="AC148" s="25" t="s">
        <v>853</v>
      </c>
      <c r="AD148" s="25" t="s">
        <v>379</v>
      </c>
      <c r="AE148" s="25" t="s">
        <v>854</v>
      </c>
      <c r="AF148" s="25" t="s">
        <v>649</v>
      </c>
      <c r="AG148" s="25" t="s">
        <v>67</v>
      </c>
      <c r="AH148" s="25">
        <v>59801</v>
      </c>
      <c r="AI148" s="37"/>
      <c r="AJ148" s="25" t="s">
        <v>661</v>
      </c>
      <c r="AL148" s="24">
        <v>24</v>
      </c>
      <c r="AN148" s="24"/>
      <c r="AO148" s="24"/>
      <c r="AP148" s="24">
        <v>12</v>
      </c>
      <c r="AQ148" s="24">
        <v>12</v>
      </c>
      <c r="AR148" s="24" t="s">
        <v>683</v>
      </c>
      <c r="AS148" s="24"/>
      <c r="AT148" s="24"/>
      <c r="AU148" s="24"/>
      <c r="AV148" s="24"/>
      <c r="BJ148" s="40">
        <v>4729827</v>
      </c>
      <c r="BK148" s="40">
        <f>VLOOKUP(M148,[1]EconBenMult!$B$12:$D$14,2,TRUE)*(BJ148/1000000)</f>
        <v>36.703457520000001</v>
      </c>
      <c r="BL148" s="31">
        <f>VLOOKUP(M148,[1]EconBenMult!$B$12:$D$14,3,TRUE)*(BJ148/1000000)</f>
        <v>2025444.5457490799</v>
      </c>
    </row>
    <row r="149" spans="1:68" ht="15" customHeight="1" x14ac:dyDescent="0.2">
      <c r="B149" s="24">
        <v>2008</v>
      </c>
      <c r="C149" s="24" t="s">
        <v>181</v>
      </c>
      <c r="D149" s="25" t="s">
        <v>855</v>
      </c>
      <c r="E149" s="25" t="s">
        <v>856</v>
      </c>
      <c r="F149" s="25" t="s">
        <v>66</v>
      </c>
      <c r="G149" s="26">
        <v>59901</v>
      </c>
      <c r="J149" s="25" t="s">
        <v>59</v>
      </c>
      <c r="K149" s="28">
        <v>0.04</v>
      </c>
      <c r="L149" s="24" t="s">
        <v>411</v>
      </c>
      <c r="M149" s="25" t="s">
        <v>61</v>
      </c>
      <c r="N149" s="24" t="s">
        <v>347</v>
      </c>
      <c r="O149" s="29">
        <v>61</v>
      </c>
      <c r="P149" s="24">
        <v>1</v>
      </c>
      <c r="Q149" s="30">
        <v>1830000</v>
      </c>
      <c r="R149" s="30"/>
      <c r="S149" s="30"/>
      <c r="T149" s="30"/>
      <c r="W149" s="34">
        <v>39814</v>
      </c>
      <c r="Y149" s="34">
        <f t="shared" si="25"/>
        <v>39814</v>
      </c>
      <c r="Z149" s="35">
        <f t="shared" si="26"/>
        <v>44927</v>
      </c>
      <c r="AA149" s="36">
        <v>25</v>
      </c>
      <c r="AB149" s="35">
        <f t="shared" si="29"/>
        <v>54058</v>
      </c>
      <c r="AC149" s="25" t="s">
        <v>857</v>
      </c>
      <c r="AD149" s="25" t="s">
        <v>858</v>
      </c>
      <c r="AE149" s="25" t="s">
        <v>859</v>
      </c>
      <c r="AF149" s="25" t="s">
        <v>860</v>
      </c>
      <c r="AG149" s="25" t="s">
        <v>89</v>
      </c>
      <c r="AH149" s="25">
        <v>92110</v>
      </c>
      <c r="AI149" s="37"/>
      <c r="AJ149" s="25" t="s">
        <v>861</v>
      </c>
      <c r="BJ149" s="40">
        <v>3165057</v>
      </c>
      <c r="BK149" s="40">
        <f>VLOOKUP(M149,[1]EconBenMult!$B$12:$D$14,2,TRUE)*(BJ149/1000000)</f>
        <v>24.560842319999999</v>
      </c>
      <c r="BL149" s="31">
        <f>VLOOKUP(M149,[1]EconBenMult!$B$12:$D$14,3,TRUE)*(BJ149/1000000)</f>
        <v>1355366.15559828</v>
      </c>
    </row>
    <row r="150" spans="1:68" ht="15" customHeight="1" x14ac:dyDescent="0.2">
      <c r="A150" s="89"/>
      <c r="B150" s="86">
        <v>2008</v>
      </c>
      <c r="C150" s="86" t="s">
        <v>862</v>
      </c>
      <c r="D150" s="87" t="s">
        <v>863</v>
      </c>
      <c r="E150" s="87" t="s">
        <v>864</v>
      </c>
      <c r="F150" s="87" t="s">
        <v>645</v>
      </c>
      <c r="G150" s="90">
        <v>59330</v>
      </c>
      <c r="H150" s="91"/>
      <c r="I150" s="91"/>
      <c r="J150" s="87" t="s">
        <v>646</v>
      </c>
      <c r="K150" s="93">
        <v>0.09</v>
      </c>
      <c r="L150" s="86" t="s">
        <v>74</v>
      </c>
      <c r="M150" s="87" t="s">
        <v>95</v>
      </c>
      <c r="N150" s="86" t="s">
        <v>347</v>
      </c>
      <c r="O150" s="94">
        <v>18</v>
      </c>
      <c r="P150" s="86">
        <v>1</v>
      </c>
      <c r="Q150" s="95">
        <v>165500</v>
      </c>
      <c r="R150" s="95"/>
      <c r="S150" s="95"/>
      <c r="T150" s="95"/>
      <c r="U150" s="96"/>
      <c r="V150" s="97"/>
      <c r="W150" s="34">
        <v>39814</v>
      </c>
      <c r="Y150" s="34">
        <f t="shared" si="25"/>
        <v>39814</v>
      </c>
      <c r="AA150" s="99"/>
      <c r="AC150" s="87" t="s">
        <v>857</v>
      </c>
      <c r="AD150" s="87" t="s">
        <v>858</v>
      </c>
      <c r="AE150" s="87" t="s">
        <v>859</v>
      </c>
      <c r="AF150" s="87" t="s">
        <v>860</v>
      </c>
      <c r="AG150" s="87" t="s">
        <v>89</v>
      </c>
      <c r="AH150" s="87">
        <v>92110</v>
      </c>
      <c r="AI150" s="37"/>
      <c r="AJ150" s="87"/>
      <c r="AK150" s="100"/>
      <c r="AL150" s="86"/>
      <c r="AM150" s="87"/>
      <c r="AN150" s="87"/>
      <c r="AO150" s="87"/>
      <c r="AP150" s="87"/>
      <c r="AQ150" s="87"/>
      <c r="AR150" s="87"/>
      <c r="AS150" s="87"/>
      <c r="AT150" s="87"/>
      <c r="AU150" s="87"/>
      <c r="AV150" s="87"/>
      <c r="BJ150" s="40">
        <v>4737933</v>
      </c>
      <c r="BK150" s="40">
        <f>VLOOKUP(M150,[1]EconBenMult!$B$12:$D$14,2,TRUE)*(BJ150/1000000)</f>
        <v>56.997333989999994</v>
      </c>
      <c r="BL150" s="31">
        <f>VLOOKUP(M150,[1]EconBenMult!$B$12:$D$14,3,TRUE)*(BJ150/1000000)</f>
        <v>3312899.4429670498</v>
      </c>
    </row>
    <row r="151" spans="1:68" ht="15" customHeight="1" x14ac:dyDescent="0.2">
      <c r="B151" s="24">
        <v>2008</v>
      </c>
      <c r="C151" s="24" t="s">
        <v>181</v>
      </c>
      <c r="D151" s="25" t="s">
        <v>865</v>
      </c>
      <c r="E151" s="25" t="s">
        <v>866</v>
      </c>
      <c r="F151" s="25" t="s">
        <v>108</v>
      </c>
      <c r="G151" s="26">
        <v>59801</v>
      </c>
      <c r="J151" s="25" t="s">
        <v>108</v>
      </c>
      <c r="K151" s="28">
        <v>0.09</v>
      </c>
      <c r="L151" s="24" t="s">
        <v>411</v>
      </c>
      <c r="M151" s="25" t="s">
        <v>95</v>
      </c>
      <c r="N151" s="24" t="s">
        <v>62</v>
      </c>
      <c r="O151" s="29">
        <v>37</v>
      </c>
      <c r="P151" s="24">
        <v>3</v>
      </c>
      <c r="Q151" s="30">
        <v>4740710</v>
      </c>
      <c r="R151" s="30"/>
      <c r="S151" s="30"/>
      <c r="T151" s="30"/>
      <c r="W151" s="34">
        <v>40160</v>
      </c>
      <c r="Y151" s="34">
        <f t="shared" si="25"/>
        <v>40160</v>
      </c>
      <c r="Z151" s="35">
        <f t="shared" si="26"/>
        <v>45273</v>
      </c>
      <c r="AA151" s="36">
        <v>31</v>
      </c>
      <c r="AB151" s="35">
        <f>DATE(YEAR(Z151)+AA151,MONTH(Z151),DAY(Z151))</f>
        <v>56596</v>
      </c>
      <c r="AC151" s="25" t="s">
        <v>867</v>
      </c>
      <c r="AD151" s="25" t="s">
        <v>868</v>
      </c>
      <c r="AE151" s="25" t="s">
        <v>869</v>
      </c>
      <c r="AF151" s="25" t="s">
        <v>870</v>
      </c>
      <c r="AG151" s="25" t="s">
        <v>67</v>
      </c>
      <c r="AH151" s="25">
        <v>59330</v>
      </c>
      <c r="AI151" s="37"/>
      <c r="AJ151" s="25" t="s">
        <v>871</v>
      </c>
      <c r="AL151" s="24" t="s">
        <v>683</v>
      </c>
      <c r="AO151" s="25" t="s">
        <v>683</v>
      </c>
      <c r="AP151" s="25" t="s">
        <v>683</v>
      </c>
      <c r="BJ151" s="40">
        <v>2287195</v>
      </c>
      <c r="BK151" s="40">
        <f>VLOOKUP(M151,[1]EconBenMult!$B$12:$D$14,2,TRUE)*(BJ151/1000000)</f>
        <v>27.51495585</v>
      </c>
      <c r="BL151" s="31">
        <f>VLOOKUP(M151,[1]EconBenMult!$B$12:$D$14,3,TRUE)*(BJ151/1000000)</f>
        <v>1599272.72957575</v>
      </c>
    </row>
    <row r="152" spans="1:68" ht="15" customHeight="1" x14ac:dyDescent="0.2">
      <c r="B152" s="24">
        <v>2008</v>
      </c>
      <c r="C152" s="24" t="s">
        <v>181</v>
      </c>
      <c r="D152" s="25" t="s">
        <v>872</v>
      </c>
      <c r="E152" s="25" t="s">
        <v>873</v>
      </c>
      <c r="F152" s="25" t="s">
        <v>72</v>
      </c>
      <c r="G152" s="26">
        <v>59840</v>
      </c>
      <c r="J152" s="25" t="s">
        <v>73</v>
      </c>
      <c r="K152" s="28">
        <v>0.09</v>
      </c>
      <c r="L152" s="24" t="s">
        <v>411</v>
      </c>
      <c r="M152" s="25" t="s">
        <v>95</v>
      </c>
      <c r="N152" s="24" t="s">
        <v>62</v>
      </c>
      <c r="O152" s="29">
        <v>46</v>
      </c>
      <c r="P152" s="24">
        <v>3</v>
      </c>
      <c r="Q152" s="30">
        <v>5812500</v>
      </c>
      <c r="R152" s="30"/>
      <c r="S152" s="30"/>
      <c r="T152" s="30"/>
      <c r="W152" s="34">
        <v>39993</v>
      </c>
      <c r="Y152" s="34">
        <f t="shared" si="25"/>
        <v>39993</v>
      </c>
      <c r="Z152" s="35">
        <f t="shared" si="26"/>
        <v>45106</v>
      </c>
      <c r="AA152" s="36">
        <v>31</v>
      </c>
      <c r="AB152" s="35">
        <f>DATE(YEAR(Z152)+AA152,MONTH(Z152),DAY(Z152))</f>
        <v>56429</v>
      </c>
      <c r="AC152" s="25" t="s">
        <v>874</v>
      </c>
      <c r="AD152" s="25" t="s">
        <v>425</v>
      </c>
      <c r="AE152" s="25" t="s">
        <v>303</v>
      </c>
      <c r="AF152" s="25" t="s">
        <v>745</v>
      </c>
      <c r="AG152" s="25" t="s">
        <v>67</v>
      </c>
      <c r="AH152" s="25">
        <v>59801</v>
      </c>
      <c r="AI152" s="37"/>
      <c r="AJ152" s="25" t="s">
        <v>875</v>
      </c>
      <c r="AL152" s="24">
        <v>37</v>
      </c>
      <c r="AO152" s="25">
        <v>14</v>
      </c>
      <c r="AP152" s="25">
        <v>17</v>
      </c>
      <c r="AQ152" s="25">
        <v>5</v>
      </c>
      <c r="AV152" s="25">
        <v>1</v>
      </c>
      <c r="BJ152" s="40">
        <v>6222845</v>
      </c>
      <c r="BK152" s="40">
        <f>VLOOKUP(M152,[1]EconBenMult!$B$12:$D$14,2,TRUE)*(BJ152/1000000)</f>
        <v>74.860825349999999</v>
      </c>
      <c r="BL152" s="31">
        <f>VLOOKUP(M152,[1]EconBenMult!$B$12:$D$14,3,TRUE)*(BJ152/1000000)</f>
        <v>4351192.7530782502</v>
      </c>
    </row>
    <row r="153" spans="1:68" ht="15" customHeight="1" x14ac:dyDescent="0.2">
      <c r="B153" s="24">
        <v>2008</v>
      </c>
      <c r="C153" s="24" t="s">
        <v>181</v>
      </c>
      <c r="D153" s="25" t="s">
        <v>876</v>
      </c>
      <c r="E153" s="25" t="s">
        <v>840</v>
      </c>
      <c r="F153" s="25" t="s">
        <v>66</v>
      </c>
      <c r="G153" s="26">
        <v>59901</v>
      </c>
      <c r="J153" s="25" t="s">
        <v>59</v>
      </c>
      <c r="K153" s="28">
        <v>0.09</v>
      </c>
      <c r="L153" s="24" t="s">
        <v>411</v>
      </c>
      <c r="M153" s="25" t="s">
        <v>95</v>
      </c>
      <c r="N153" s="24" t="s">
        <v>62</v>
      </c>
      <c r="O153" s="29">
        <v>34</v>
      </c>
      <c r="P153" s="24">
        <v>3</v>
      </c>
      <c r="Q153" s="30">
        <v>5800000</v>
      </c>
      <c r="R153" s="30"/>
      <c r="S153" s="30"/>
      <c r="T153" s="30"/>
      <c r="W153" s="34">
        <v>40018</v>
      </c>
      <c r="Y153" s="34">
        <f t="shared" si="25"/>
        <v>40018</v>
      </c>
      <c r="Z153" s="35">
        <f t="shared" si="26"/>
        <v>45131</v>
      </c>
      <c r="AA153" s="36">
        <v>31</v>
      </c>
      <c r="AB153" s="35">
        <f>DATE(YEAR(Z153)+AA153,MONTH(Z153),DAY(Z153))</f>
        <v>56454</v>
      </c>
      <c r="AC153" s="25" t="s">
        <v>877</v>
      </c>
      <c r="AD153" s="25" t="s">
        <v>878</v>
      </c>
      <c r="AE153" s="25" t="s">
        <v>879</v>
      </c>
      <c r="AF153" s="25" t="s">
        <v>745</v>
      </c>
      <c r="AG153" s="25" t="s">
        <v>67</v>
      </c>
      <c r="AH153" s="25">
        <v>59802</v>
      </c>
      <c r="AI153" s="37"/>
      <c r="AJ153" s="25" t="s">
        <v>880</v>
      </c>
      <c r="AL153" s="24">
        <v>46</v>
      </c>
      <c r="AP153" s="25">
        <v>29</v>
      </c>
      <c r="AQ153" s="25">
        <v>17</v>
      </c>
      <c r="BJ153" s="40">
        <v>6114912</v>
      </c>
      <c r="BK153" s="40">
        <f>VLOOKUP(M153,[1]EconBenMult!$B$12:$D$14,2,TRUE)*(BJ153/1000000)</f>
        <v>73.562391360000007</v>
      </c>
      <c r="BL153" s="31">
        <f>VLOOKUP(M153,[1]EconBenMult!$B$12:$D$14,3,TRUE)*(BJ153/1000000)</f>
        <v>4275722.8856111998</v>
      </c>
    </row>
    <row r="154" spans="1:68" ht="15" customHeight="1" x14ac:dyDescent="0.2">
      <c r="B154" s="24">
        <v>2008</v>
      </c>
      <c r="C154" s="24" t="s">
        <v>181</v>
      </c>
      <c r="D154" s="25" t="s">
        <v>881</v>
      </c>
      <c r="E154" s="25" t="s">
        <v>882</v>
      </c>
      <c r="F154" s="25" t="s">
        <v>883</v>
      </c>
      <c r="G154" s="26">
        <v>59043</v>
      </c>
      <c r="J154" s="25" t="s">
        <v>884</v>
      </c>
      <c r="K154" s="28">
        <v>0.09</v>
      </c>
      <c r="L154" s="24" t="s">
        <v>188</v>
      </c>
      <c r="M154" s="25" t="s">
        <v>61</v>
      </c>
      <c r="N154" s="24" t="s">
        <v>347</v>
      </c>
      <c r="O154" s="29">
        <v>35</v>
      </c>
      <c r="P154" s="24">
        <v>1</v>
      </c>
      <c r="Q154" s="30">
        <v>3948120</v>
      </c>
      <c r="R154" s="30"/>
      <c r="S154" s="30"/>
      <c r="T154" s="30"/>
      <c r="W154" s="34">
        <v>40197</v>
      </c>
      <c r="Y154" s="34">
        <f t="shared" si="25"/>
        <v>40197</v>
      </c>
      <c r="Z154" s="35">
        <f t="shared" si="26"/>
        <v>45310</v>
      </c>
      <c r="AA154" s="36">
        <v>31</v>
      </c>
      <c r="AB154" s="35">
        <f>DATE(YEAR(Z154)+AA154,MONTH(Z154),DAY(Z154))</f>
        <v>56633</v>
      </c>
      <c r="AC154" s="25" t="s">
        <v>885</v>
      </c>
      <c r="AD154" s="25" t="s">
        <v>843</v>
      </c>
      <c r="AE154" s="25" t="s">
        <v>844</v>
      </c>
      <c r="AF154" s="25" t="s">
        <v>745</v>
      </c>
      <c r="AG154" s="25" t="s">
        <v>67</v>
      </c>
      <c r="AH154" s="25">
        <v>59803</v>
      </c>
      <c r="AI154" s="37"/>
      <c r="AJ154" s="25" t="s">
        <v>886</v>
      </c>
      <c r="AL154" s="24">
        <v>34</v>
      </c>
      <c r="AP154" s="25">
        <v>9</v>
      </c>
      <c r="AQ154" s="25">
        <v>24</v>
      </c>
      <c r="AV154" s="25">
        <v>1</v>
      </c>
      <c r="BJ154" s="40">
        <v>6350661</v>
      </c>
      <c r="BK154" s="40">
        <f>VLOOKUP(M154,[1]EconBenMult!$B$12:$D$14,2,TRUE)*(BJ154/1000000)</f>
        <v>49.281129359999994</v>
      </c>
      <c r="BL154" s="31">
        <f>VLOOKUP(M154,[1]EconBenMult!$B$12:$D$14,3,TRUE)*(BJ154/1000000)</f>
        <v>2719531.1127344398</v>
      </c>
    </row>
    <row r="155" spans="1:68" ht="15" customHeight="1" x14ac:dyDescent="0.2">
      <c r="B155" s="24">
        <v>2009</v>
      </c>
      <c r="C155" s="24" t="s">
        <v>181</v>
      </c>
      <c r="D155" s="25" t="s">
        <v>887</v>
      </c>
      <c r="E155" s="25" t="s">
        <v>888</v>
      </c>
      <c r="F155" s="25" t="s">
        <v>889</v>
      </c>
      <c r="G155" s="26">
        <v>59645</v>
      </c>
      <c r="J155" s="25" t="s">
        <v>890</v>
      </c>
      <c r="K155" s="28">
        <v>0.09</v>
      </c>
      <c r="L155" s="24" t="s">
        <v>74</v>
      </c>
      <c r="M155" s="25" t="s">
        <v>95</v>
      </c>
      <c r="N155" s="24" t="s">
        <v>347</v>
      </c>
      <c r="O155" s="29">
        <v>10</v>
      </c>
      <c r="P155" s="24">
        <v>2</v>
      </c>
      <c r="Q155" s="30">
        <v>237317</v>
      </c>
      <c r="R155" s="30"/>
      <c r="S155" s="30"/>
      <c r="T155" s="30"/>
      <c r="W155" s="34">
        <v>40485</v>
      </c>
      <c r="Y155" s="34">
        <f t="shared" si="25"/>
        <v>40485</v>
      </c>
      <c r="Z155" s="35">
        <f t="shared" si="26"/>
        <v>45599</v>
      </c>
      <c r="AA155" s="36">
        <v>31</v>
      </c>
      <c r="AB155" s="35">
        <f>DATE(YEAR(Z155)+AA155,MONTH(Z155),DAY(Z155))</f>
        <v>56921</v>
      </c>
      <c r="AC155" s="25" t="s">
        <v>891</v>
      </c>
      <c r="AD155" s="25" t="s">
        <v>892</v>
      </c>
      <c r="AE155" s="25" t="s">
        <v>893</v>
      </c>
      <c r="AF155" s="25" t="s">
        <v>894</v>
      </c>
      <c r="AG155" s="25" t="s">
        <v>67</v>
      </c>
      <c r="AH155" s="25">
        <v>59043</v>
      </c>
      <c r="AI155" s="37"/>
      <c r="AJ155" s="25" t="s">
        <v>895</v>
      </c>
      <c r="AL155" s="24">
        <v>35</v>
      </c>
      <c r="AO155" s="25">
        <v>20</v>
      </c>
      <c r="AP155" s="25">
        <v>14</v>
      </c>
      <c r="AV155" s="25">
        <v>1</v>
      </c>
      <c r="BJ155" s="40">
        <v>4668552</v>
      </c>
      <c r="BK155" s="40">
        <f>VLOOKUP(M155,[1]EconBenMult!$B$12:$D$14,2,TRUE)*(BJ155/1000000)</f>
        <v>56.162680559999998</v>
      </c>
      <c r="BL155" s="31">
        <f>VLOOKUP(M155,[1]EconBenMult!$B$12:$D$14,3,TRUE)*(BJ155/1000000)</f>
        <v>3264386.2461251998</v>
      </c>
    </row>
    <row r="156" spans="1:68" ht="15" customHeight="1" x14ac:dyDescent="0.2">
      <c r="A156" s="89" t="s">
        <v>683</v>
      </c>
      <c r="B156" s="86">
        <v>2008</v>
      </c>
      <c r="C156" s="86" t="s">
        <v>680</v>
      </c>
      <c r="D156" s="87" t="s">
        <v>896</v>
      </c>
      <c r="E156" s="87" t="s">
        <v>897</v>
      </c>
      <c r="F156" s="87" t="s">
        <v>237</v>
      </c>
      <c r="G156" s="90">
        <v>59457</v>
      </c>
      <c r="H156" s="91"/>
      <c r="I156" s="91"/>
      <c r="J156" s="87" t="s">
        <v>238</v>
      </c>
      <c r="K156" s="93">
        <v>0.09</v>
      </c>
      <c r="L156" s="86" t="s">
        <v>74</v>
      </c>
      <c r="M156" s="87" t="s">
        <v>898</v>
      </c>
      <c r="N156" s="86" t="s">
        <v>62</v>
      </c>
      <c r="O156" s="94"/>
      <c r="P156" s="86"/>
      <c r="Q156" s="95" t="s">
        <v>683</v>
      </c>
      <c r="R156" s="95"/>
      <c r="S156" s="95"/>
      <c r="T156" s="95"/>
      <c r="U156" s="96"/>
      <c r="V156" s="97"/>
      <c r="W156" s="34" t="s">
        <v>683</v>
      </c>
      <c r="Y156" s="34" t="str">
        <f t="shared" si="25"/>
        <v xml:space="preserve"> </v>
      </c>
      <c r="AA156" s="99"/>
      <c r="AC156" s="87" t="s">
        <v>899</v>
      </c>
      <c r="AD156" s="87" t="s">
        <v>900</v>
      </c>
      <c r="AE156" s="87" t="s">
        <v>901</v>
      </c>
      <c r="AF156" s="87" t="s">
        <v>902</v>
      </c>
      <c r="AG156" s="87" t="s">
        <v>67</v>
      </c>
      <c r="AH156" s="87">
        <v>59457</v>
      </c>
      <c r="AI156" s="37"/>
      <c r="AJ156" s="87" t="s">
        <v>903</v>
      </c>
      <c r="AK156" s="100"/>
      <c r="AL156" s="86"/>
      <c r="AM156" s="87"/>
      <c r="AN156" s="87"/>
      <c r="AO156" s="87"/>
      <c r="AP156" s="87"/>
      <c r="AQ156" s="87"/>
      <c r="AR156" s="87"/>
      <c r="AS156" s="87"/>
      <c r="AT156" s="87"/>
      <c r="AU156" s="87"/>
      <c r="AV156" s="87"/>
      <c r="BK156" s="40">
        <f>VLOOKUP(M156,[1]EconBenMult!$B$12:$D$14,2,TRUE)*(BJ156/1000000)</f>
        <v>0</v>
      </c>
      <c r="BL156" s="31">
        <f>VLOOKUP(M156,[1]EconBenMult!$B$12:$D$14,3,TRUE)*(BJ156/1000000)</f>
        <v>0</v>
      </c>
    </row>
    <row r="157" spans="1:68" s="122" customFormat="1" ht="15" customHeight="1" x14ac:dyDescent="0.2">
      <c r="A157" s="120">
        <v>39925</v>
      </c>
      <c r="B157" s="121">
        <v>2007</v>
      </c>
      <c r="C157" s="121" t="s">
        <v>904</v>
      </c>
      <c r="D157" s="122" t="s">
        <v>905</v>
      </c>
      <c r="E157" s="122" t="s">
        <v>174</v>
      </c>
      <c r="F157" s="122" t="s">
        <v>113</v>
      </c>
      <c r="G157" s="123">
        <v>59101</v>
      </c>
      <c r="H157" s="124"/>
      <c r="I157" s="124"/>
      <c r="J157" s="122" t="s">
        <v>175</v>
      </c>
      <c r="K157" s="125">
        <v>0.04</v>
      </c>
      <c r="L157" s="121" t="s">
        <v>411</v>
      </c>
      <c r="M157" s="122" t="s">
        <v>61</v>
      </c>
      <c r="N157" s="121" t="s">
        <v>347</v>
      </c>
      <c r="O157" s="126">
        <v>101</v>
      </c>
      <c r="P157" s="121">
        <v>1</v>
      </c>
      <c r="Q157" s="127">
        <v>2646400</v>
      </c>
      <c r="R157" s="127"/>
      <c r="S157" s="127"/>
      <c r="T157" s="127"/>
      <c r="U157" s="128"/>
      <c r="V157" s="129"/>
      <c r="W157" s="120">
        <v>39337</v>
      </c>
      <c r="X157" s="120"/>
      <c r="Y157" s="120">
        <f t="shared" ref="Y157:Y220" si="30">IF(W157&gt;X157,W157,X157)</f>
        <v>39337</v>
      </c>
      <c r="Z157" s="131">
        <f t="shared" ref="Z157:Z220" si="31">DATE(YEAR(Y157)+14,MONTH(Y157),DAY(Y157))</f>
        <v>44451</v>
      </c>
      <c r="AA157" s="132">
        <v>31</v>
      </c>
      <c r="AB157" s="131">
        <f>DATE(YEAR(Z157)+AA157,MONTH(Z157),DAY(Z157))</f>
        <v>55774</v>
      </c>
      <c r="AC157" s="122" t="s">
        <v>176</v>
      </c>
      <c r="AD157" s="122" t="s">
        <v>906</v>
      </c>
      <c r="AE157" s="122" t="s">
        <v>907</v>
      </c>
      <c r="AF157" s="122" t="s">
        <v>908</v>
      </c>
      <c r="AG157" s="122" t="s">
        <v>131</v>
      </c>
      <c r="AH157" s="122">
        <v>98101</v>
      </c>
      <c r="AI157" s="133"/>
      <c r="AJ157" s="122" t="s">
        <v>909</v>
      </c>
      <c r="AK157" s="134"/>
      <c r="AL157" s="121">
        <v>101</v>
      </c>
      <c r="AO157" s="122">
        <v>100</v>
      </c>
      <c r="AV157" s="122">
        <v>1</v>
      </c>
      <c r="AW157" s="121"/>
      <c r="AX157" s="121"/>
      <c r="AY157" s="121"/>
      <c r="AZ157" s="121"/>
      <c r="BA157" s="121"/>
      <c r="BB157" s="121"/>
      <c r="BC157" s="121"/>
      <c r="BD157" s="121"/>
      <c r="BE157" s="121"/>
      <c r="BJ157" s="135">
        <v>7390267</v>
      </c>
      <c r="BK157" s="135">
        <f>VLOOKUP(M157,[1]EconBenMult!$B$12:$D$14,2,TRUE)*(BJ157/1000000)</f>
        <v>57.348471919999994</v>
      </c>
      <c r="BL157" s="130">
        <f>VLOOKUP(M157,[1]EconBenMult!$B$12:$D$14,3,TRUE)*(BJ157/1000000)</f>
        <v>3164719.5524866795</v>
      </c>
      <c r="BM157" s="135"/>
      <c r="BN157" s="135"/>
      <c r="BO157" s="135"/>
      <c r="BP157" s="135"/>
    </row>
    <row r="158" spans="1:68" ht="15" customHeight="1" x14ac:dyDescent="0.2">
      <c r="B158" s="24">
        <v>2007</v>
      </c>
      <c r="C158" s="24" t="s">
        <v>181</v>
      </c>
      <c r="D158" s="25" t="s">
        <v>910</v>
      </c>
      <c r="E158" s="25" t="s">
        <v>911</v>
      </c>
      <c r="F158" s="25" t="s">
        <v>692</v>
      </c>
      <c r="G158" s="26">
        <v>59255</v>
      </c>
      <c r="J158" s="25" t="s">
        <v>464</v>
      </c>
      <c r="K158" s="28">
        <v>0.09</v>
      </c>
      <c r="L158" s="24" t="s">
        <v>188</v>
      </c>
      <c r="M158" s="25" t="s">
        <v>61</v>
      </c>
      <c r="N158" s="24" t="s">
        <v>62</v>
      </c>
      <c r="O158" s="29">
        <v>23</v>
      </c>
      <c r="P158" s="24">
        <v>23</v>
      </c>
      <c r="Q158" s="30">
        <v>2657390</v>
      </c>
      <c r="R158" s="30"/>
      <c r="S158" s="30"/>
      <c r="T158" s="30"/>
      <c r="W158" s="34">
        <v>39722</v>
      </c>
      <c r="Y158" s="34">
        <f t="shared" si="30"/>
        <v>39722</v>
      </c>
      <c r="Z158" s="35">
        <f t="shared" si="31"/>
        <v>44835</v>
      </c>
      <c r="AA158" s="36">
        <v>16</v>
      </c>
      <c r="AB158" s="35">
        <f>DATE(YEAR(Z158)+AA158,MONTH(Z158),DAY(Z158))</f>
        <v>50679</v>
      </c>
      <c r="AC158" s="25" t="s">
        <v>760</v>
      </c>
      <c r="AD158" s="25" t="s">
        <v>761</v>
      </c>
      <c r="AE158" s="25" t="s">
        <v>912</v>
      </c>
      <c r="AF158" s="25" t="s">
        <v>763</v>
      </c>
      <c r="AG158" s="25" t="s">
        <v>67</v>
      </c>
      <c r="AH158" s="25">
        <v>59255</v>
      </c>
      <c r="AI158" s="37"/>
      <c r="AJ158" s="25" t="s">
        <v>764</v>
      </c>
      <c r="AL158" s="24">
        <v>23</v>
      </c>
      <c r="AO158" s="25">
        <v>3</v>
      </c>
      <c r="AP158" s="25">
        <v>5</v>
      </c>
      <c r="AQ158" s="25">
        <v>8</v>
      </c>
      <c r="AR158" s="25">
        <v>7</v>
      </c>
      <c r="BJ158" s="40">
        <v>3480839</v>
      </c>
      <c r="BK158" s="40">
        <f>VLOOKUP(M158,[1]EconBenMult!$B$12:$D$14,2,TRUE)*(BJ158/1000000)</f>
        <v>27.011310639999998</v>
      </c>
      <c r="BL158" s="31">
        <f>VLOOKUP(M158,[1]EconBenMult!$B$12:$D$14,3,TRUE)*(BJ158/1000000)</f>
        <v>1490592.86252556</v>
      </c>
    </row>
    <row r="159" spans="1:68" ht="15" customHeight="1" x14ac:dyDescent="0.2">
      <c r="A159" s="89" t="s">
        <v>683</v>
      </c>
      <c r="B159" s="86">
        <v>2007</v>
      </c>
      <c r="C159" s="86" t="s">
        <v>680</v>
      </c>
      <c r="D159" s="87" t="s">
        <v>913</v>
      </c>
      <c r="E159" s="87" t="s">
        <v>914</v>
      </c>
      <c r="F159" s="87" t="s">
        <v>525</v>
      </c>
      <c r="G159" s="90">
        <v>59860</v>
      </c>
      <c r="H159" s="91"/>
      <c r="I159" s="91"/>
      <c r="J159" s="87" t="s">
        <v>441</v>
      </c>
      <c r="K159" s="93">
        <v>0.09</v>
      </c>
      <c r="L159" s="86" t="s">
        <v>411</v>
      </c>
      <c r="M159" s="87" t="s">
        <v>95</v>
      </c>
      <c r="N159" s="86" t="s">
        <v>62</v>
      </c>
      <c r="O159" s="94" t="s">
        <v>683</v>
      </c>
      <c r="P159" s="86"/>
      <c r="Q159" s="95" t="s">
        <v>683</v>
      </c>
      <c r="R159" s="95"/>
      <c r="S159" s="95"/>
      <c r="T159" s="95"/>
      <c r="U159" s="96"/>
      <c r="V159" s="97"/>
      <c r="W159" s="34" t="s">
        <v>683</v>
      </c>
      <c r="Y159" s="34" t="str">
        <f t="shared" si="30"/>
        <v xml:space="preserve"> </v>
      </c>
      <c r="AA159" s="99"/>
      <c r="AC159" s="87" t="s">
        <v>915</v>
      </c>
      <c r="AD159" s="87" t="s">
        <v>916</v>
      </c>
      <c r="AE159" s="87" t="s">
        <v>917</v>
      </c>
      <c r="AF159" s="87" t="s">
        <v>918</v>
      </c>
      <c r="AG159" s="87" t="s">
        <v>67</v>
      </c>
      <c r="AH159" s="87">
        <v>59860</v>
      </c>
      <c r="AI159" s="37"/>
      <c r="AJ159" s="87" t="s">
        <v>919</v>
      </c>
      <c r="AK159" s="100"/>
      <c r="AL159" s="86">
        <v>0</v>
      </c>
      <c r="AM159" s="87"/>
      <c r="AN159" s="87"/>
      <c r="AO159" s="87">
        <v>28</v>
      </c>
      <c r="AP159" s="87">
        <v>12</v>
      </c>
      <c r="AQ159" s="87"/>
      <c r="AR159" s="87"/>
      <c r="AS159" s="87"/>
      <c r="AT159" s="87"/>
      <c r="AU159" s="87"/>
      <c r="AV159" s="87"/>
      <c r="BJ159" s="40" t="s">
        <v>683</v>
      </c>
      <c r="BK159" s="40" t="e">
        <f>VLOOKUP(M159,[1]EconBenMult!$B$12:$D$14,2,TRUE)*(BJ159/1000000)</f>
        <v>#VALUE!</v>
      </c>
      <c r="BL159" s="31" t="e">
        <f>VLOOKUP(M159,[1]EconBenMult!$B$12:$D$14,3,TRUE)*(BJ159/1000000)</f>
        <v>#VALUE!</v>
      </c>
    </row>
    <row r="160" spans="1:68" ht="15" customHeight="1" x14ac:dyDescent="0.2">
      <c r="B160" s="24">
        <v>2007</v>
      </c>
      <c r="C160" s="24" t="s">
        <v>181</v>
      </c>
      <c r="D160" s="25" t="s">
        <v>920</v>
      </c>
      <c r="E160" s="25" t="s">
        <v>921</v>
      </c>
      <c r="F160" s="25" t="s">
        <v>108</v>
      </c>
      <c r="G160" s="26">
        <v>59802</v>
      </c>
      <c r="J160" s="25" t="s">
        <v>108</v>
      </c>
      <c r="K160" s="28">
        <v>0.09</v>
      </c>
      <c r="L160" s="24" t="s">
        <v>411</v>
      </c>
      <c r="M160" s="25" t="s">
        <v>95</v>
      </c>
      <c r="N160" s="24" t="s">
        <v>62</v>
      </c>
      <c r="O160" s="29">
        <v>35</v>
      </c>
      <c r="P160" s="24">
        <v>1</v>
      </c>
      <c r="Q160" s="30">
        <v>5450000</v>
      </c>
      <c r="R160" s="30"/>
      <c r="S160" s="30"/>
      <c r="T160" s="30"/>
      <c r="W160" s="34">
        <v>40011</v>
      </c>
      <c r="Y160" s="34">
        <f t="shared" si="30"/>
        <v>40011</v>
      </c>
      <c r="Z160" s="35">
        <f t="shared" si="31"/>
        <v>45124</v>
      </c>
      <c r="AA160" s="36">
        <v>31</v>
      </c>
      <c r="AB160" s="35">
        <f>DATE(YEAR(Z160)+AA160,MONTH(Z160),DAY(Z160))</f>
        <v>56447</v>
      </c>
      <c r="AC160" s="25" t="s">
        <v>922</v>
      </c>
      <c r="AD160" s="25" t="s">
        <v>923</v>
      </c>
      <c r="AE160" s="25" t="s">
        <v>924</v>
      </c>
      <c r="AF160" s="25" t="s">
        <v>745</v>
      </c>
      <c r="AG160" s="25" t="s">
        <v>67</v>
      </c>
      <c r="AH160" s="25">
        <v>59802</v>
      </c>
      <c r="AI160" s="37"/>
      <c r="AJ160" s="25" t="s">
        <v>781</v>
      </c>
      <c r="AL160" s="24">
        <v>35</v>
      </c>
      <c r="AN160" s="25">
        <v>5</v>
      </c>
      <c r="AO160" s="25">
        <v>20</v>
      </c>
      <c r="AP160" s="25">
        <v>10</v>
      </c>
      <c r="BJ160" s="40">
        <v>8489538</v>
      </c>
      <c r="BK160" s="40">
        <f>VLOOKUP(M160,[1]EconBenMult!$B$12:$D$14,2,TRUE)*(BJ160/1000000)</f>
        <v>102.12914213999998</v>
      </c>
      <c r="BL160" s="31">
        <f>VLOOKUP(M160,[1]EconBenMult!$B$12:$D$14,3,TRUE)*(BJ160/1000000)</f>
        <v>5936129.8927712999</v>
      </c>
    </row>
    <row r="161" spans="1:68" s="62" customFormat="1" ht="15" customHeight="1" x14ac:dyDescent="0.2">
      <c r="A161" s="89" t="s">
        <v>683</v>
      </c>
      <c r="B161" s="86">
        <v>2007</v>
      </c>
      <c r="C161" s="86" t="s">
        <v>680</v>
      </c>
      <c r="D161" s="87" t="s">
        <v>925</v>
      </c>
      <c r="E161" s="87" t="s">
        <v>897</v>
      </c>
      <c r="F161" s="87" t="s">
        <v>237</v>
      </c>
      <c r="G161" s="90">
        <v>59457</v>
      </c>
      <c r="H161" s="91"/>
      <c r="I161" s="91"/>
      <c r="J161" s="87" t="s">
        <v>238</v>
      </c>
      <c r="K161" s="93">
        <v>0.09</v>
      </c>
      <c r="L161" s="86" t="s">
        <v>74</v>
      </c>
      <c r="M161" s="87" t="s">
        <v>898</v>
      </c>
      <c r="N161" s="86" t="s">
        <v>62</v>
      </c>
      <c r="O161" s="94" t="s">
        <v>683</v>
      </c>
      <c r="P161" s="86"/>
      <c r="Q161" s="95" t="s">
        <v>683</v>
      </c>
      <c r="R161" s="95"/>
      <c r="S161" s="95"/>
      <c r="T161" s="95"/>
      <c r="U161" s="96"/>
      <c r="V161" s="97"/>
      <c r="W161" s="34" t="s">
        <v>683</v>
      </c>
      <c r="X161" s="34"/>
      <c r="Y161" s="34" t="str">
        <f t="shared" si="30"/>
        <v xml:space="preserve"> </v>
      </c>
      <c r="Z161" s="35"/>
      <c r="AA161" s="99"/>
      <c r="AB161" s="35"/>
      <c r="AC161" s="87" t="s">
        <v>899</v>
      </c>
      <c r="AD161" s="87" t="s">
        <v>900</v>
      </c>
      <c r="AE161" s="87" t="s">
        <v>901</v>
      </c>
      <c r="AF161" s="87" t="s">
        <v>902</v>
      </c>
      <c r="AG161" s="87" t="s">
        <v>67</v>
      </c>
      <c r="AH161" s="87">
        <v>59457</v>
      </c>
      <c r="AI161" s="37"/>
      <c r="AJ161" s="87" t="s">
        <v>903</v>
      </c>
      <c r="AK161" s="100"/>
      <c r="AL161" s="86">
        <v>0</v>
      </c>
      <c r="AM161" s="87"/>
      <c r="AN161" s="87"/>
      <c r="AO161" s="87">
        <v>3</v>
      </c>
      <c r="AP161" s="87">
        <v>15</v>
      </c>
      <c r="AQ161" s="87">
        <v>6</v>
      </c>
      <c r="AR161" s="87"/>
      <c r="AS161" s="87"/>
      <c r="AT161" s="87"/>
      <c r="AU161" s="87"/>
      <c r="AV161" s="87"/>
      <c r="AW161" s="60"/>
      <c r="AX161" s="60"/>
      <c r="AY161" s="60"/>
      <c r="AZ161" s="60"/>
      <c r="BA161" s="60"/>
      <c r="BB161" s="60"/>
      <c r="BC161" s="60"/>
      <c r="BD161" s="60"/>
      <c r="BE161" s="60"/>
      <c r="BJ161" s="40" t="s">
        <v>683</v>
      </c>
      <c r="BK161" s="40" t="e">
        <f>VLOOKUP(M161,[1]EconBenMult!$B$12:$D$14,2,TRUE)*(BJ161/1000000)</f>
        <v>#VALUE!</v>
      </c>
      <c r="BL161" s="31" t="e">
        <f>VLOOKUP(M161,[1]EconBenMult!$B$12:$D$14,3,TRUE)*(BJ161/1000000)</f>
        <v>#VALUE!</v>
      </c>
      <c r="BM161" s="40"/>
      <c r="BN161" s="40"/>
      <c r="BO161" s="40"/>
      <c r="BP161" s="40"/>
    </row>
    <row r="162" spans="1:68" ht="15" customHeight="1" x14ac:dyDescent="0.2">
      <c r="B162" s="24">
        <v>2007</v>
      </c>
      <c r="C162" s="24" t="s">
        <v>181</v>
      </c>
      <c r="D162" s="25" t="s">
        <v>926</v>
      </c>
      <c r="E162" s="25" t="s">
        <v>927</v>
      </c>
      <c r="F162" s="25" t="s">
        <v>103</v>
      </c>
      <c r="G162" s="26">
        <v>59624</v>
      </c>
      <c r="J162" s="44" t="s">
        <v>104</v>
      </c>
      <c r="K162" s="28">
        <v>0.09</v>
      </c>
      <c r="L162" s="24" t="s">
        <v>74</v>
      </c>
      <c r="M162" s="25" t="s">
        <v>329</v>
      </c>
      <c r="N162" s="24" t="s">
        <v>347</v>
      </c>
      <c r="O162" s="29">
        <v>43</v>
      </c>
      <c r="P162" s="24">
        <v>1</v>
      </c>
      <c r="Q162" s="30">
        <v>5687500</v>
      </c>
      <c r="R162" s="30"/>
      <c r="S162" s="30"/>
      <c r="T162" s="30"/>
      <c r="W162" s="34">
        <v>39818</v>
      </c>
      <c r="Y162" s="34">
        <f t="shared" si="30"/>
        <v>39818</v>
      </c>
      <c r="Z162" s="35">
        <f t="shared" si="31"/>
        <v>44931</v>
      </c>
      <c r="AA162" s="36">
        <v>31</v>
      </c>
      <c r="AB162" s="35">
        <f>DATE(YEAR(Z162)+AA162,MONTH(Z162),DAY(Z162))</f>
        <v>56254</v>
      </c>
      <c r="AC162" s="25" t="s">
        <v>928</v>
      </c>
      <c r="AD162" s="25" t="s">
        <v>665</v>
      </c>
      <c r="AE162" s="25" t="s">
        <v>431</v>
      </c>
      <c r="AF162" s="25" t="s">
        <v>666</v>
      </c>
      <c r="AG162" s="25" t="s">
        <v>67</v>
      </c>
      <c r="AH162" s="25" t="s">
        <v>814</v>
      </c>
      <c r="AI162" s="37"/>
      <c r="AJ162" s="25" t="s">
        <v>667</v>
      </c>
      <c r="AL162" s="24">
        <v>43</v>
      </c>
      <c r="AO162" s="25">
        <v>40</v>
      </c>
      <c r="BJ162" s="40">
        <v>6531171</v>
      </c>
      <c r="BK162" s="40">
        <f>VLOOKUP(M162,[1]EconBenMult!$B$12:$D$14,2,TRUE)*(BJ162/1000000)</f>
        <v>50.681886959999993</v>
      </c>
      <c r="BL162" s="31">
        <f>VLOOKUP(M162,[1]EconBenMult!$B$12:$D$14,3,TRUE)*(BJ162/1000000)</f>
        <v>2796830.5562348398</v>
      </c>
    </row>
    <row r="163" spans="1:68" ht="15" customHeight="1" x14ac:dyDescent="0.2">
      <c r="A163" s="89"/>
      <c r="B163" s="86">
        <v>2007</v>
      </c>
      <c r="C163" s="86" t="s">
        <v>862</v>
      </c>
      <c r="D163" s="87" t="s">
        <v>929</v>
      </c>
      <c r="E163" s="87" t="s">
        <v>864</v>
      </c>
      <c r="F163" s="87" t="s">
        <v>645</v>
      </c>
      <c r="G163" s="90">
        <v>59330</v>
      </c>
      <c r="H163" s="91"/>
      <c r="I163" s="91"/>
      <c r="J163" s="87" t="s">
        <v>646</v>
      </c>
      <c r="K163" s="93">
        <v>0.09</v>
      </c>
      <c r="L163" s="86" t="s">
        <v>74</v>
      </c>
      <c r="M163" s="87" t="s">
        <v>95</v>
      </c>
      <c r="N163" s="86" t="s">
        <v>347</v>
      </c>
      <c r="O163" s="94"/>
      <c r="P163" s="86"/>
      <c r="Q163" s="95">
        <v>1778350</v>
      </c>
      <c r="R163" s="95"/>
      <c r="S163" s="95"/>
      <c r="T163" s="95"/>
      <c r="U163" s="96"/>
      <c r="V163" s="97"/>
      <c r="Y163" s="34">
        <f t="shared" si="30"/>
        <v>0</v>
      </c>
      <c r="AA163" s="99"/>
      <c r="AC163" s="87" t="s">
        <v>867</v>
      </c>
      <c r="AD163" s="87" t="s">
        <v>868</v>
      </c>
      <c r="AE163" s="87" t="s">
        <v>869</v>
      </c>
      <c r="AF163" s="87" t="s">
        <v>870</v>
      </c>
      <c r="AG163" s="87" t="s">
        <v>67</v>
      </c>
      <c r="AH163" s="87">
        <v>59330</v>
      </c>
      <c r="AI163" s="37"/>
      <c r="AJ163" s="87" t="s">
        <v>871</v>
      </c>
      <c r="AK163" s="100"/>
      <c r="AL163" s="86">
        <v>18</v>
      </c>
      <c r="AM163" s="87"/>
      <c r="AN163" s="87"/>
      <c r="AO163" s="87">
        <v>9</v>
      </c>
      <c r="AP163" s="87">
        <v>9</v>
      </c>
      <c r="AQ163" s="87"/>
      <c r="AR163" s="87"/>
      <c r="AS163" s="87"/>
      <c r="AT163" s="87"/>
      <c r="AU163" s="87"/>
      <c r="AV163" s="87"/>
      <c r="BJ163" s="40">
        <v>2278045</v>
      </c>
      <c r="BK163" s="40">
        <f>VLOOKUP(M163,[1]EconBenMult!$B$12:$D$14,2,TRUE)*(BJ163/1000000)</f>
        <v>27.40488135</v>
      </c>
      <c r="BL163" s="31">
        <f>VLOOKUP(M163,[1]EconBenMult!$B$12:$D$14,3,TRUE)*(BJ163/1000000)</f>
        <v>1592874.7855982501</v>
      </c>
    </row>
    <row r="164" spans="1:68" ht="15" customHeight="1" x14ac:dyDescent="0.2">
      <c r="B164" s="24">
        <v>2006</v>
      </c>
      <c r="C164" s="24" t="s">
        <v>181</v>
      </c>
      <c r="D164" s="25" t="s">
        <v>930</v>
      </c>
      <c r="E164" s="25" t="s">
        <v>931</v>
      </c>
      <c r="F164" s="25" t="s">
        <v>113</v>
      </c>
      <c r="G164" s="26">
        <v>59101</v>
      </c>
      <c r="J164" s="25" t="s">
        <v>175</v>
      </c>
      <c r="K164" s="28">
        <v>0.04</v>
      </c>
      <c r="L164" s="24" t="s">
        <v>74</v>
      </c>
      <c r="M164" s="25" t="s">
        <v>61</v>
      </c>
      <c r="N164" s="24" t="s">
        <v>347</v>
      </c>
      <c r="O164" s="29">
        <v>88</v>
      </c>
      <c r="P164" s="24">
        <v>1</v>
      </c>
      <c r="Q164" s="30">
        <v>1655110</v>
      </c>
      <c r="R164" s="30"/>
      <c r="S164" s="30"/>
      <c r="T164" s="30"/>
      <c r="W164" s="34">
        <v>39926</v>
      </c>
      <c r="Y164" s="34">
        <f t="shared" si="30"/>
        <v>39926</v>
      </c>
      <c r="Z164" s="35">
        <f t="shared" si="31"/>
        <v>45039</v>
      </c>
      <c r="AA164" s="36">
        <v>31</v>
      </c>
      <c r="AB164" s="35">
        <f t="shared" ref="AB164:AB174" si="32">DATE(YEAR(Z164)+AA164,MONTH(Z164),DAY(Z164))</f>
        <v>56362</v>
      </c>
      <c r="AC164" s="25" t="s">
        <v>932</v>
      </c>
      <c r="AD164" s="25" t="s">
        <v>933</v>
      </c>
      <c r="AE164" s="25" t="s">
        <v>934</v>
      </c>
      <c r="AF164" s="25" t="s">
        <v>935</v>
      </c>
      <c r="AG164" s="25" t="s">
        <v>688</v>
      </c>
      <c r="AH164" s="25">
        <v>80202</v>
      </c>
      <c r="AI164" s="37"/>
      <c r="AJ164" s="25" t="s">
        <v>936</v>
      </c>
      <c r="AL164" s="24">
        <v>88</v>
      </c>
      <c r="AN164" s="25">
        <v>60</v>
      </c>
      <c r="AO164" s="25">
        <v>33</v>
      </c>
      <c r="AU164" s="25">
        <v>5</v>
      </c>
      <c r="BJ164" s="40">
        <v>3185329</v>
      </c>
      <c r="BK164" s="40">
        <f>VLOOKUP(M164,[1]EconBenMult!$B$12:$D$14,2,TRUE)*(BJ164/1000000)</f>
        <v>24.718153039999997</v>
      </c>
      <c r="BL164" s="31">
        <f>VLOOKUP(M164,[1]EconBenMult!$B$12:$D$14,3,TRUE)*(BJ164/1000000)</f>
        <v>1364047.1944251598</v>
      </c>
    </row>
    <row r="165" spans="1:68" s="87" customFormat="1" ht="15" customHeight="1" x14ac:dyDescent="0.2">
      <c r="A165" s="89">
        <v>39064</v>
      </c>
      <c r="B165" s="86">
        <v>2006</v>
      </c>
      <c r="C165" s="86" t="s">
        <v>181</v>
      </c>
      <c r="D165" s="87" t="s">
        <v>937</v>
      </c>
      <c r="E165" s="87" t="s">
        <v>57</v>
      </c>
      <c r="F165" s="87" t="s">
        <v>58</v>
      </c>
      <c r="G165" s="90">
        <v>59911</v>
      </c>
      <c r="H165" s="91"/>
      <c r="I165" s="91"/>
      <c r="J165" s="87" t="s">
        <v>59</v>
      </c>
      <c r="K165" s="93">
        <v>0.09</v>
      </c>
      <c r="L165" s="86" t="s">
        <v>411</v>
      </c>
      <c r="M165" s="87" t="s">
        <v>61</v>
      </c>
      <c r="N165" s="86" t="s">
        <v>62</v>
      </c>
      <c r="O165" s="94">
        <v>24</v>
      </c>
      <c r="P165" s="86">
        <v>4</v>
      </c>
      <c r="Q165" s="95">
        <v>2268600</v>
      </c>
      <c r="R165" s="95"/>
      <c r="S165" s="95"/>
      <c r="T165" s="95"/>
      <c r="U165" s="96"/>
      <c r="V165" s="97"/>
      <c r="W165" s="89">
        <v>39490</v>
      </c>
      <c r="X165" s="89"/>
      <c r="Y165" s="89">
        <f t="shared" si="30"/>
        <v>39490</v>
      </c>
      <c r="Z165" s="136">
        <f t="shared" si="31"/>
        <v>44604</v>
      </c>
      <c r="AA165" s="99">
        <v>35</v>
      </c>
      <c r="AB165" s="136">
        <f t="shared" si="32"/>
        <v>57388</v>
      </c>
      <c r="AC165" s="87" t="s">
        <v>938</v>
      </c>
      <c r="AD165" s="87" t="s">
        <v>939</v>
      </c>
      <c r="AE165" s="87" t="s">
        <v>940</v>
      </c>
      <c r="AF165" s="87" t="s">
        <v>941</v>
      </c>
      <c r="AG165" s="87" t="s">
        <v>942</v>
      </c>
      <c r="AH165" s="87">
        <v>30080</v>
      </c>
      <c r="AI165" s="137"/>
      <c r="AJ165" s="87" t="s">
        <v>943</v>
      </c>
      <c r="AK165" s="100"/>
      <c r="AL165" s="86">
        <v>24</v>
      </c>
      <c r="AO165" s="87">
        <v>16</v>
      </c>
      <c r="AP165" s="87">
        <v>8</v>
      </c>
      <c r="AW165" s="86"/>
      <c r="AX165" s="86"/>
      <c r="AY165" s="86"/>
      <c r="AZ165" s="86"/>
      <c r="BA165" s="86"/>
      <c r="BB165" s="86"/>
      <c r="BC165" s="86"/>
      <c r="BD165" s="86"/>
      <c r="BE165" s="86"/>
      <c r="BJ165" s="88">
        <v>2727095</v>
      </c>
      <c r="BK165" s="88">
        <f>VLOOKUP(M165,[1]EconBenMult!$B$12:$D$14,2,TRUE)*(BJ165/1000000)</f>
        <v>21.162257199999999</v>
      </c>
      <c r="BL165" s="98">
        <f>VLOOKUP(M165,[1]EconBenMult!$B$12:$D$14,3,TRUE)*(BJ165/1000000)</f>
        <v>1167818.5467437999</v>
      </c>
      <c r="BM165" s="88"/>
      <c r="BN165" s="88"/>
      <c r="BO165" s="88"/>
      <c r="BP165" s="88"/>
    </row>
    <row r="166" spans="1:68" ht="15" customHeight="1" x14ac:dyDescent="0.2">
      <c r="A166" s="34">
        <v>39064</v>
      </c>
      <c r="B166" s="24">
        <v>2006</v>
      </c>
      <c r="C166" s="24" t="s">
        <v>181</v>
      </c>
      <c r="D166" s="25" t="s">
        <v>944</v>
      </c>
      <c r="E166" s="25" t="s">
        <v>658</v>
      </c>
      <c r="F166" s="25" t="s">
        <v>108</v>
      </c>
      <c r="G166" s="26">
        <v>59808</v>
      </c>
      <c r="J166" s="25" t="s">
        <v>108</v>
      </c>
      <c r="K166" s="28">
        <v>0.09</v>
      </c>
      <c r="L166" s="24" t="s">
        <v>411</v>
      </c>
      <c r="M166" s="25" t="s">
        <v>95</v>
      </c>
      <c r="N166" s="24" t="s">
        <v>62</v>
      </c>
      <c r="O166" s="29">
        <v>33</v>
      </c>
      <c r="P166" s="24">
        <v>3</v>
      </c>
      <c r="Q166" s="30">
        <v>4925550</v>
      </c>
      <c r="R166" s="30"/>
      <c r="S166" s="30"/>
      <c r="T166" s="30"/>
      <c r="W166" s="34">
        <v>39234</v>
      </c>
      <c r="Y166" s="34">
        <f t="shared" si="30"/>
        <v>39234</v>
      </c>
      <c r="Z166" s="35">
        <f t="shared" si="31"/>
        <v>44348</v>
      </c>
      <c r="AA166" s="36">
        <v>31</v>
      </c>
      <c r="AB166" s="35">
        <f t="shared" si="32"/>
        <v>55671</v>
      </c>
      <c r="AC166" s="25" t="s">
        <v>774</v>
      </c>
      <c r="AD166" s="25" t="s">
        <v>775</v>
      </c>
      <c r="AE166" s="25" t="s">
        <v>945</v>
      </c>
      <c r="AF166" s="25" t="s">
        <v>745</v>
      </c>
      <c r="AG166" s="25" t="s">
        <v>67</v>
      </c>
      <c r="AH166" s="25">
        <v>59803</v>
      </c>
      <c r="AI166" s="37"/>
      <c r="AJ166" s="25" t="s">
        <v>714</v>
      </c>
      <c r="AL166" s="24">
        <v>33</v>
      </c>
      <c r="AP166" s="25">
        <v>24</v>
      </c>
      <c r="AQ166" s="25">
        <v>9</v>
      </c>
      <c r="BJ166" s="40">
        <v>5671021</v>
      </c>
      <c r="BK166" s="40">
        <f>VLOOKUP(M166,[1]EconBenMult!$B$12:$D$14,2,TRUE)*(BJ166/1000000)</f>
        <v>68.222382629999998</v>
      </c>
      <c r="BL166" s="31">
        <f>VLOOKUP(M166,[1]EconBenMult!$B$12:$D$14,3,TRUE)*(BJ166/1000000)</f>
        <v>3965341.4921558495</v>
      </c>
    </row>
    <row r="167" spans="1:68" ht="15" customHeight="1" x14ac:dyDescent="0.2">
      <c r="B167" s="24">
        <v>2006</v>
      </c>
      <c r="C167" s="24" t="s">
        <v>181</v>
      </c>
      <c r="D167" s="25" t="s">
        <v>946</v>
      </c>
      <c r="E167" s="25" t="s">
        <v>947</v>
      </c>
      <c r="F167" s="25" t="s">
        <v>103</v>
      </c>
      <c r="G167" s="26">
        <v>59601</v>
      </c>
      <c r="J167" s="44" t="s">
        <v>104</v>
      </c>
      <c r="K167" s="28">
        <v>0.09</v>
      </c>
      <c r="L167" s="24" t="s">
        <v>74</v>
      </c>
      <c r="M167" s="25" t="s">
        <v>61</v>
      </c>
      <c r="N167" s="24" t="s">
        <v>347</v>
      </c>
      <c r="O167" s="29">
        <v>30</v>
      </c>
      <c r="P167" s="24">
        <v>1</v>
      </c>
      <c r="Q167" s="30">
        <v>5075000</v>
      </c>
      <c r="R167" s="30"/>
      <c r="S167" s="30"/>
      <c r="T167" s="30"/>
      <c r="W167" s="34">
        <v>39751</v>
      </c>
      <c r="Y167" s="34">
        <f t="shared" si="30"/>
        <v>39751</v>
      </c>
      <c r="Z167" s="35">
        <f t="shared" si="31"/>
        <v>44864</v>
      </c>
      <c r="AA167" s="36">
        <v>16</v>
      </c>
      <c r="AB167" s="35">
        <f t="shared" si="32"/>
        <v>50708</v>
      </c>
      <c r="AC167" s="25" t="s">
        <v>928</v>
      </c>
      <c r="AD167" s="25" t="s">
        <v>665</v>
      </c>
      <c r="AE167" s="25" t="s">
        <v>948</v>
      </c>
      <c r="AF167" s="25" t="s">
        <v>666</v>
      </c>
      <c r="AG167" s="25" t="s">
        <v>67</v>
      </c>
      <c r="AH167" s="25" t="s">
        <v>814</v>
      </c>
      <c r="AI167" s="37"/>
      <c r="AJ167" s="25" t="s">
        <v>667</v>
      </c>
      <c r="AL167" s="24">
        <v>30</v>
      </c>
      <c r="AO167" s="25">
        <v>30</v>
      </c>
      <c r="BJ167" s="40">
        <v>5820571</v>
      </c>
      <c r="BK167" s="40">
        <f>VLOOKUP(M167,[1]EconBenMult!$B$12:$D$14,2,TRUE)*(BJ167/1000000)</f>
        <v>45.167630959999997</v>
      </c>
      <c r="BL167" s="31">
        <f>VLOOKUP(M167,[1]EconBenMult!$B$12:$D$14,3,TRUE)*(BJ167/1000000)</f>
        <v>2492531.7110108398</v>
      </c>
    </row>
    <row r="168" spans="1:68" ht="15" customHeight="1" x14ac:dyDescent="0.2">
      <c r="B168" s="24">
        <v>2006</v>
      </c>
      <c r="C168" s="24" t="s">
        <v>181</v>
      </c>
      <c r="D168" s="25" t="s">
        <v>949</v>
      </c>
      <c r="E168" s="25" t="s">
        <v>950</v>
      </c>
      <c r="F168" s="25" t="s">
        <v>517</v>
      </c>
      <c r="G168" s="26">
        <v>59417</v>
      </c>
      <c r="J168" s="25" t="s">
        <v>518</v>
      </c>
      <c r="K168" s="28">
        <v>0.09</v>
      </c>
      <c r="L168" s="24" t="s">
        <v>188</v>
      </c>
      <c r="M168" s="25" t="s">
        <v>95</v>
      </c>
      <c r="N168" s="24" t="s">
        <v>62</v>
      </c>
      <c r="O168" s="29">
        <v>50</v>
      </c>
      <c r="P168" s="24">
        <v>30</v>
      </c>
      <c r="Q168" s="30">
        <v>5475000</v>
      </c>
      <c r="R168" s="30"/>
      <c r="S168" s="30"/>
      <c r="T168" s="30"/>
      <c r="W168" s="34">
        <v>39652</v>
      </c>
      <c r="Y168" s="34">
        <f t="shared" si="30"/>
        <v>39652</v>
      </c>
      <c r="Z168" s="35">
        <f t="shared" si="31"/>
        <v>44765</v>
      </c>
      <c r="AA168" s="36">
        <v>31</v>
      </c>
      <c r="AB168" s="35">
        <f t="shared" si="32"/>
        <v>56088</v>
      </c>
      <c r="AC168" s="25" t="s">
        <v>951</v>
      </c>
      <c r="AD168" s="25" t="s">
        <v>952</v>
      </c>
      <c r="AE168" s="25" t="s">
        <v>953</v>
      </c>
      <c r="AF168" s="25" t="s">
        <v>954</v>
      </c>
      <c r="AG168" s="25" t="s">
        <v>67</v>
      </c>
      <c r="AH168" s="25">
        <v>59417</v>
      </c>
      <c r="AI168" s="37"/>
      <c r="AJ168" s="25" t="s">
        <v>955</v>
      </c>
      <c r="AL168" s="24">
        <v>50</v>
      </c>
      <c r="AO168" s="25">
        <v>6</v>
      </c>
      <c r="AP168" s="25">
        <v>10</v>
      </c>
      <c r="AQ168" s="25">
        <v>24</v>
      </c>
      <c r="AR168" s="25">
        <v>10</v>
      </c>
      <c r="BJ168" s="40">
        <v>5956768</v>
      </c>
      <c r="BK168" s="40">
        <f>VLOOKUP(M168,[1]EconBenMult!$B$12:$D$14,2,TRUE)*(BJ168/1000000)</f>
        <v>71.659919040000005</v>
      </c>
      <c r="BL168" s="31">
        <f>VLOOKUP(M168,[1]EconBenMult!$B$12:$D$14,3,TRUE)*(BJ168/1000000)</f>
        <v>4165144.0383568001</v>
      </c>
    </row>
    <row r="169" spans="1:68" s="62" customFormat="1" ht="15" customHeight="1" x14ac:dyDescent="0.2">
      <c r="A169" s="34"/>
      <c r="B169" s="24">
        <v>2006</v>
      </c>
      <c r="C169" s="24" t="s">
        <v>181</v>
      </c>
      <c r="D169" s="25" t="s">
        <v>956</v>
      </c>
      <c r="E169" s="25" t="s">
        <v>957</v>
      </c>
      <c r="F169" s="25" t="s">
        <v>958</v>
      </c>
      <c r="G169" s="26">
        <v>59526</v>
      </c>
      <c r="H169" s="27"/>
      <c r="I169" s="27"/>
      <c r="J169" s="25" t="s">
        <v>959</v>
      </c>
      <c r="K169" s="28">
        <v>0.09</v>
      </c>
      <c r="L169" s="24" t="s">
        <v>188</v>
      </c>
      <c r="M169" s="25" t="s">
        <v>95</v>
      </c>
      <c r="N169" s="24" t="s">
        <v>62</v>
      </c>
      <c r="O169" s="29">
        <v>24</v>
      </c>
      <c r="P169" s="24">
        <v>24</v>
      </c>
      <c r="Q169" s="30">
        <v>4428220</v>
      </c>
      <c r="R169" s="30"/>
      <c r="S169" s="30"/>
      <c r="T169" s="30"/>
      <c r="U169" s="32"/>
      <c r="V169" s="33"/>
      <c r="W169" s="34">
        <v>39297</v>
      </c>
      <c r="X169" s="34"/>
      <c r="Y169" s="34">
        <f t="shared" si="30"/>
        <v>39297</v>
      </c>
      <c r="Z169" s="35">
        <f t="shared" si="31"/>
        <v>44411</v>
      </c>
      <c r="AA169" s="36">
        <v>15</v>
      </c>
      <c r="AB169" s="35">
        <f t="shared" si="32"/>
        <v>49890</v>
      </c>
      <c r="AC169" s="25" t="s">
        <v>960</v>
      </c>
      <c r="AD169" s="25" t="s">
        <v>961</v>
      </c>
      <c r="AE169" s="25" t="s">
        <v>962</v>
      </c>
      <c r="AF169" s="25" t="s">
        <v>963</v>
      </c>
      <c r="AG169" s="25" t="s">
        <v>67</v>
      </c>
      <c r="AH169" s="25">
        <v>59526</v>
      </c>
      <c r="AI169" s="37"/>
      <c r="AJ169" s="25" t="s">
        <v>964</v>
      </c>
      <c r="AK169" s="42"/>
      <c r="AL169" s="24">
        <v>24</v>
      </c>
      <c r="AM169" s="25"/>
      <c r="AN169" s="25"/>
      <c r="AO169" s="25"/>
      <c r="AP169" s="25"/>
      <c r="AQ169" s="25">
        <v>24</v>
      </c>
      <c r="AR169" s="25"/>
      <c r="AS169" s="25"/>
      <c r="AT169" s="25"/>
      <c r="AU169" s="25"/>
      <c r="AV169" s="25"/>
      <c r="AW169" s="60"/>
      <c r="AX169" s="60"/>
      <c r="AY169" s="60"/>
      <c r="AZ169" s="60"/>
      <c r="BA169" s="60"/>
      <c r="BB169" s="60"/>
      <c r="BC169" s="60"/>
      <c r="BD169" s="60"/>
      <c r="BE169" s="60"/>
      <c r="BJ169" s="40">
        <v>4442243</v>
      </c>
      <c r="BK169" s="40">
        <f>VLOOKUP(M169,[1]EconBenMult!$B$12:$D$14,2,TRUE)*(BJ169/1000000)</f>
        <v>53.44018329</v>
      </c>
      <c r="BL169" s="31">
        <f>VLOOKUP(M169,[1]EconBenMult!$B$12:$D$14,3,TRUE)*(BJ169/1000000)</f>
        <v>3106144.4643105501</v>
      </c>
      <c r="BM169" s="40"/>
      <c r="BN169" s="40"/>
      <c r="BO169" s="40"/>
      <c r="BP169" s="40"/>
    </row>
    <row r="170" spans="1:68" ht="15" customHeight="1" x14ac:dyDescent="0.2">
      <c r="A170" s="34">
        <v>39064</v>
      </c>
      <c r="B170" s="24">
        <v>2006</v>
      </c>
      <c r="C170" s="24" t="s">
        <v>181</v>
      </c>
      <c r="D170" s="25" t="s">
        <v>965</v>
      </c>
      <c r="E170" s="25" t="s">
        <v>966</v>
      </c>
      <c r="F170" s="25" t="s">
        <v>967</v>
      </c>
      <c r="G170" s="26">
        <v>59301</v>
      </c>
      <c r="J170" s="25" t="s">
        <v>968</v>
      </c>
      <c r="K170" s="28">
        <v>0.09</v>
      </c>
      <c r="L170" s="24" t="s">
        <v>74</v>
      </c>
      <c r="M170" s="25" t="s">
        <v>61</v>
      </c>
      <c r="N170" s="24" t="s">
        <v>62</v>
      </c>
      <c r="O170" s="29">
        <v>21</v>
      </c>
      <c r="P170" s="24">
        <v>1</v>
      </c>
      <c r="Q170" s="30">
        <v>2293280</v>
      </c>
      <c r="R170" s="30"/>
      <c r="S170" s="30"/>
      <c r="T170" s="30"/>
      <c r="W170" s="34">
        <v>39386</v>
      </c>
      <c r="Y170" s="34">
        <f t="shared" si="30"/>
        <v>39386</v>
      </c>
      <c r="Z170" s="35">
        <f t="shared" si="31"/>
        <v>44500</v>
      </c>
      <c r="AA170" s="36">
        <v>31</v>
      </c>
      <c r="AB170" s="35">
        <f t="shared" si="32"/>
        <v>55823</v>
      </c>
      <c r="AC170" s="25" t="s">
        <v>969</v>
      </c>
      <c r="AD170" s="25" t="s">
        <v>970</v>
      </c>
      <c r="AE170" s="25" t="s">
        <v>971</v>
      </c>
      <c r="AF170" s="25" t="s">
        <v>972</v>
      </c>
      <c r="AG170" s="25" t="s">
        <v>67</v>
      </c>
      <c r="AH170" s="25">
        <v>59301</v>
      </c>
      <c r="AI170" s="37"/>
      <c r="AJ170" s="25" t="s">
        <v>973</v>
      </c>
      <c r="AL170" s="24">
        <v>21</v>
      </c>
      <c r="AO170" s="25">
        <v>3</v>
      </c>
      <c r="AP170" s="25">
        <v>6</v>
      </c>
      <c r="AQ170" s="25">
        <v>12</v>
      </c>
      <c r="BJ170" s="40">
        <v>4001476</v>
      </c>
      <c r="BK170" s="40">
        <f>VLOOKUP(M170,[1]EconBenMult!$B$12:$D$14,2,TRUE)*(BJ170/1000000)</f>
        <v>31.051453760000001</v>
      </c>
      <c r="BL170" s="31">
        <f>VLOOKUP(M170,[1]EconBenMult!$B$12:$D$14,3,TRUE)*(BJ170/1000000)</f>
        <v>1713544.22458704</v>
      </c>
    </row>
    <row r="171" spans="1:68" s="62" customFormat="1" ht="15" customHeight="1" x14ac:dyDescent="0.2">
      <c r="A171" s="34">
        <v>39064</v>
      </c>
      <c r="B171" s="24">
        <v>2006</v>
      </c>
      <c r="C171" s="24" t="s">
        <v>181</v>
      </c>
      <c r="D171" s="25" t="s">
        <v>974</v>
      </c>
      <c r="E171" s="25" t="s">
        <v>975</v>
      </c>
      <c r="F171" s="25" t="s">
        <v>113</v>
      </c>
      <c r="G171" s="26">
        <v>59101</v>
      </c>
      <c r="H171" s="27">
        <v>45.773490000000002</v>
      </c>
      <c r="I171" s="27">
        <v>-108.49686</v>
      </c>
      <c r="J171" s="25" t="s">
        <v>175</v>
      </c>
      <c r="K171" s="28">
        <v>0.09</v>
      </c>
      <c r="L171" s="24" t="s">
        <v>74</v>
      </c>
      <c r="M171" s="25" t="s">
        <v>95</v>
      </c>
      <c r="N171" s="24" t="s">
        <v>62</v>
      </c>
      <c r="O171" s="29">
        <v>20</v>
      </c>
      <c r="P171" s="24">
        <v>2</v>
      </c>
      <c r="Q171" s="30">
        <v>4500000</v>
      </c>
      <c r="R171" s="30"/>
      <c r="S171" s="30"/>
      <c r="T171" s="30"/>
      <c r="U171" s="32"/>
      <c r="V171" s="33"/>
      <c r="W171" s="34">
        <v>39356</v>
      </c>
      <c r="X171" s="34"/>
      <c r="Y171" s="34">
        <f t="shared" si="30"/>
        <v>39356</v>
      </c>
      <c r="Z171" s="35">
        <f t="shared" si="31"/>
        <v>44470</v>
      </c>
      <c r="AA171" s="36">
        <v>31</v>
      </c>
      <c r="AB171" s="35">
        <f t="shared" si="32"/>
        <v>55793</v>
      </c>
      <c r="AC171" s="25" t="s">
        <v>976</v>
      </c>
      <c r="AD171" s="25" t="s">
        <v>818</v>
      </c>
      <c r="AE171" s="25" t="s">
        <v>977</v>
      </c>
      <c r="AF171" s="25" t="s">
        <v>745</v>
      </c>
      <c r="AG171" s="25" t="s">
        <v>67</v>
      </c>
      <c r="AH171" s="25">
        <v>59802</v>
      </c>
      <c r="AI171" s="37"/>
      <c r="AJ171" s="25" t="s">
        <v>781</v>
      </c>
      <c r="AK171" s="42"/>
      <c r="AL171" s="24">
        <v>20</v>
      </c>
      <c r="AM171" s="25"/>
      <c r="AN171" s="25"/>
      <c r="AO171" s="25" t="s">
        <v>683</v>
      </c>
      <c r="AP171" s="25" t="s">
        <v>683</v>
      </c>
      <c r="AQ171" s="25" t="s">
        <v>683</v>
      </c>
      <c r="AR171" s="25"/>
      <c r="AS171" s="25"/>
      <c r="AT171" s="25"/>
      <c r="AU171" s="25"/>
      <c r="AV171" s="25"/>
      <c r="AW171" s="60"/>
      <c r="AX171" s="60"/>
      <c r="AY171" s="60"/>
      <c r="AZ171" s="60"/>
      <c r="BA171" s="60"/>
      <c r="BB171" s="60"/>
      <c r="BC171" s="60"/>
      <c r="BD171" s="60"/>
      <c r="BE171" s="60"/>
      <c r="BJ171" s="40">
        <v>4691000</v>
      </c>
      <c r="BK171" s="40">
        <f>VLOOKUP(M171,[1]EconBenMult!$B$12:$D$14,2,TRUE)*(BJ171/1000000)</f>
        <v>56.432729999999992</v>
      </c>
      <c r="BL171" s="31">
        <f>VLOOKUP(M171,[1]EconBenMult!$B$12:$D$14,3,TRUE)*(BJ171/1000000)</f>
        <v>3280082.5353499996</v>
      </c>
      <c r="BM171" s="40"/>
      <c r="BN171" s="40"/>
      <c r="BO171" s="40"/>
      <c r="BP171" s="40"/>
    </row>
    <row r="172" spans="1:68" ht="15" customHeight="1" x14ac:dyDescent="0.2">
      <c r="B172" s="24">
        <v>2006</v>
      </c>
      <c r="C172" s="24" t="s">
        <v>181</v>
      </c>
      <c r="D172" s="25" t="s">
        <v>978</v>
      </c>
      <c r="E172" s="25" t="s">
        <v>979</v>
      </c>
      <c r="F172" s="25" t="s">
        <v>113</v>
      </c>
      <c r="G172" s="26">
        <v>59101</v>
      </c>
      <c r="J172" s="25" t="s">
        <v>175</v>
      </c>
      <c r="K172" s="28">
        <v>0.04</v>
      </c>
      <c r="L172" s="24" t="s">
        <v>74</v>
      </c>
      <c r="M172" s="25" t="s">
        <v>61</v>
      </c>
      <c r="N172" s="24" t="s">
        <v>347</v>
      </c>
      <c r="O172" s="29">
        <v>64</v>
      </c>
      <c r="P172" s="24">
        <v>1</v>
      </c>
      <c r="Q172" s="30">
        <v>1105400</v>
      </c>
      <c r="R172" s="30"/>
      <c r="S172" s="30"/>
      <c r="T172" s="30"/>
      <c r="W172" s="34">
        <v>38756</v>
      </c>
      <c r="Y172" s="34">
        <f t="shared" si="30"/>
        <v>38756</v>
      </c>
      <c r="Z172" s="35">
        <f t="shared" si="31"/>
        <v>43869</v>
      </c>
      <c r="AA172" s="36">
        <v>15</v>
      </c>
      <c r="AB172" s="35">
        <f t="shared" si="32"/>
        <v>49348</v>
      </c>
      <c r="AC172" s="25" t="s">
        <v>980</v>
      </c>
      <c r="AD172" s="25" t="s">
        <v>933</v>
      </c>
      <c r="AE172" s="25" t="s">
        <v>981</v>
      </c>
      <c r="AF172" s="25" t="s">
        <v>935</v>
      </c>
      <c r="AG172" s="25" t="s">
        <v>688</v>
      </c>
      <c r="AH172" s="25">
        <v>80202</v>
      </c>
      <c r="AI172" s="37"/>
      <c r="AJ172" s="25" t="s">
        <v>936</v>
      </c>
      <c r="AL172" s="24">
        <v>64</v>
      </c>
      <c r="AO172" s="25">
        <v>58</v>
      </c>
      <c r="AP172" s="25">
        <v>6</v>
      </c>
      <c r="BJ172" s="40">
        <v>3558624</v>
      </c>
      <c r="BK172" s="40">
        <f>VLOOKUP(M172,[1]EconBenMult!$B$12:$D$14,2,TRUE)*(BJ172/1000000)</f>
        <v>27.614922239999999</v>
      </c>
      <c r="BL172" s="31">
        <f>VLOOKUP(M172,[1]EconBenMult!$B$12:$D$14,3,TRUE)*(BJ172/1000000)</f>
        <v>1523902.5806169598</v>
      </c>
    </row>
    <row r="173" spans="1:68" ht="15" customHeight="1" x14ac:dyDescent="0.2">
      <c r="A173" s="34">
        <v>38709</v>
      </c>
      <c r="B173" s="24">
        <v>2005</v>
      </c>
      <c r="C173" s="24" t="s">
        <v>181</v>
      </c>
      <c r="D173" s="25" t="s">
        <v>125</v>
      </c>
      <c r="E173" s="25" t="s">
        <v>982</v>
      </c>
      <c r="F173" s="25" t="s">
        <v>93</v>
      </c>
      <c r="G173" s="26">
        <v>59718</v>
      </c>
      <c r="J173" s="25" t="s">
        <v>94</v>
      </c>
      <c r="K173" s="28">
        <v>0.09</v>
      </c>
      <c r="L173" s="24" t="s">
        <v>411</v>
      </c>
      <c r="M173" s="25" t="s">
        <v>95</v>
      </c>
      <c r="N173" s="24" t="s">
        <v>62</v>
      </c>
      <c r="O173" s="24">
        <v>48</v>
      </c>
      <c r="P173" s="24">
        <v>5</v>
      </c>
      <c r="Q173" s="138">
        <v>5185000</v>
      </c>
      <c r="R173" s="138"/>
      <c r="S173" s="138"/>
      <c r="T173" s="138"/>
      <c r="U173" s="139"/>
      <c r="V173" s="140"/>
      <c r="W173" s="34">
        <v>38881</v>
      </c>
      <c r="Y173" s="34">
        <f t="shared" si="30"/>
        <v>38881</v>
      </c>
      <c r="Z173" s="35">
        <f t="shared" si="31"/>
        <v>43995</v>
      </c>
      <c r="AA173" s="36">
        <v>16</v>
      </c>
      <c r="AB173" s="35">
        <f t="shared" si="32"/>
        <v>49839</v>
      </c>
      <c r="AC173" s="25" t="s">
        <v>983</v>
      </c>
      <c r="AD173" s="25" t="s">
        <v>984</v>
      </c>
      <c r="AE173" s="25" t="s">
        <v>985</v>
      </c>
      <c r="AF173" s="25" t="s">
        <v>986</v>
      </c>
      <c r="AG173" s="25" t="s">
        <v>67</v>
      </c>
      <c r="AH173" s="25">
        <v>59718</v>
      </c>
      <c r="AI173" s="37"/>
      <c r="AJ173" s="25" t="s">
        <v>987</v>
      </c>
      <c r="AL173" s="24">
        <v>48</v>
      </c>
      <c r="AO173" s="24">
        <v>18</v>
      </c>
      <c r="AP173" s="24">
        <v>29</v>
      </c>
      <c r="AQ173" s="24"/>
      <c r="AR173" s="24"/>
      <c r="AS173" s="24"/>
      <c r="AT173" s="24"/>
      <c r="AV173" s="24">
        <v>1</v>
      </c>
      <c r="BJ173" s="40">
        <v>5969176</v>
      </c>
      <c r="BK173" s="40">
        <f>VLOOKUP(M173,[1]EconBenMult!$B$12:$D$14,2,TRUE)*(BJ173/1000000)</f>
        <v>71.809187280000003</v>
      </c>
      <c r="BL173" s="31">
        <f>VLOOKUP(M173,[1]EconBenMult!$B$12:$D$14,3,TRUE)*(BJ173/1000000)</f>
        <v>4173820.0699275997</v>
      </c>
    </row>
    <row r="174" spans="1:68" ht="15" customHeight="1" x14ac:dyDescent="0.2">
      <c r="A174" s="34">
        <v>38684</v>
      </c>
      <c r="B174" s="24">
        <v>2005</v>
      </c>
      <c r="C174" s="24" t="s">
        <v>181</v>
      </c>
      <c r="D174" s="25" t="s">
        <v>988</v>
      </c>
      <c r="E174" s="25" t="s">
        <v>989</v>
      </c>
      <c r="F174" s="25" t="s">
        <v>72</v>
      </c>
      <c r="G174" s="26">
        <v>59840</v>
      </c>
      <c r="J174" s="25" t="s">
        <v>73</v>
      </c>
      <c r="K174" s="28">
        <v>0.09</v>
      </c>
      <c r="L174" s="24" t="s">
        <v>411</v>
      </c>
      <c r="M174" s="25" t="s">
        <v>95</v>
      </c>
      <c r="N174" s="24" t="s">
        <v>62</v>
      </c>
      <c r="O174" s="24">
        <v>28</v>
      </c>
      <c r="P174" s="24">
        <v>3</v>
      </c>
      <c r="Q174" s="141">
        <v>3136250</v>
      </c>
      <c r="R174" s="141"/>
      <c r="S174" s="141"/>
      <c r="T174" s="141"/>
      <c r="U174" s="142"/>
      <c r="V174" s="143"/>
      <c r="W174" s="34">
        <v>38868</v>
      </c>
      <c r="Y174" s="34">
        <f t="shared" si="30"/>
        <v>38868</v>
      </c>
      <c r="Z174" s="35">
        <f t="shared" si="31"/>
        <v>43982</v>
      </c>
      <c r="AA174" s="36">
        <v>16</v>
      </c>
      <c r="AB174" s="35">
        <f t="shared" si="32"/>
        <v>49826</v>
      </c>
      <c r="AC174" s="25" t="s">
        <v>990</v>
      </c>
      <c r="AD174" s="25" t="s">
        <v>991</v>
      </c>
      <c r="AE174" s="25" t="s">
        <v>992</v>
      </c>
      <c r="AF174" s="25" t="s">
        <v>745</v>
      </c>
      <c r="AG174" s="25" t="s">
        <v>67</v>
      </c>
      <c r="AH174" s="25">
        <v>59802</v>
      </c>
      <c r="AI174" s="37"/>
      <c r="AJ174" s="25" t="s">
        <v>799</v>
      </c>
      <c r="AL174" s="24">
        <v>28</v>
      </c>
      <c r="AO174" s="24"/>
      <c r="AP174" s="24">
        <v>12</v>
      </c>
      <c r="AQ174" s="24">
        <v>16</v>
      </c>
      <c r="AR174" s="24"/>
      <c r="AS174" s="24"/>
      <c r="AT174" s="24"/>
      <c r="AU174" s="24"/>
      <c r="BJ174" s="40">
        <v>3459738</v>
      </c>
      <c r="BK174" s="40">
        <f>VLOOKUP(M174,[1]EconBenMult!$B$12:$D$14,2,TRUE)*(BJ174/1000000)</f>
        <v>41.62064814</v>
      </c>
      <c r="BL174" s="31">
        <f>VLOOKUP(M174,[1]EconBenMult!$B$12:$D$14,3,TRUE)*(BJ174/1000000)</f>
        <v>2419148.6230413001</v>
      </c>
    </row>
    <row r="175" spans="1:68" ht="15" customHeight="1" x14ac:dyDescent="0.2">
      <c r="A175" s="89" t="s">
        <v>683</v>
      </c>
      <c r="B175" s="86">
        <v>2005</v>
      </c>
      <c r="C175" s="86" t="s">
        <v>680</v>
      </c>
      <c r="D175" s="87" t="s">
        <v>993</v>
      </c>
      <c r="E175" s="87" t="s">
        <v>994</v>
      </c>
      <c r="F175" s="87" t="s">
        <v>113</v>
      </c>
      <c r="G175" s="90">
        <v>59101</v>
      </c>
      <c r="H175" s="91"/>
      <c r="I175" s="91"/>
      <c r="J175" s="87" t="s">
        <v>175</v>
      </c>
      <c r="K175" s="93">
        <v>0.09</v>
      </c>
      <c r="L175" s="86" t="s">
        <v>74</v>
      </c>
      <c r="M175" s="87" t="s">
        <v>95</v>
      </c>
      <c r="N175" s="86" t="s">
        <v>62</v>
      </c>
      <c r="O175" s="86" t="s">
        <v>683</v>
      </c>
      <c r="P175" s="86"/>
      <c r="Q175" s="144" t="s">
        <v>683</v>
      </c>
      <c r="R175" s="144"/>
      <c r="S175" s="144"/>
      <c r="T175" s="144"/>
      <c r="U175" s="145"/>
      <c r="V175" s="146"/>
      <c r="W175" s="34" t="s">
        <v>683</v>
      </c>
      <c r="Y175" s="34" t="str">
        <f t="shared" si="30"/>
        <v xml:space="preserve"> </v>
      </c>
      <c r="AA175" s="99"/>
      <c r="AC175" s="87" t="s">
        <v>995</v>
      </c>
      <c r="AD175" s="87" t="s">
        <v>996</v>
      </c>
      <c r="AE175" s="87" t="s">
        <v>997</v>
      </c>
      <c r="AF175" s="87" t="s">
        <v>998</v>
      </c>
      <c r="AG175" s="87" t="s">
        <v>216</v>
      </c>
      <c r="AH175" s="87" t="s">
        <v>999</v>
      </c>
      <c r="AI175" s="37"/>
      <c r="AJ175" s="87" t="s">
        <v>1000</v>
      </c>
      <c r="AK175" s="100"/>
      <c r="AL175" s="86">
        <v>0</v>
      </c>
      <c r="AM175" s="87"/>
      <c r="AN175" s="87"/>
      <c r="AO175" s="86"/>
      <c r="AP175" s="86">
        <v>28</v>
      </c>
      <c r="AQ175" s="86">
        <v>18</v>
      </c>
      <c r="AR175" s="86">
        <v>2</v>
      </c>
      <c r="AS175" s="86"/>
      <c r="AT175" s="86"/>
      <c r="AU175" s="87"/>
      <c r="AV175" s="86">
        <v>1</v>
      </c>
      <c r="BJ175" s="40" t="s">
        <v>683</v>
      </c>
      <c r="BK175" s="40" t="e">
        <f>VLOOKUP(M175,[1]EconBenMult!$B$12:$D$14,2,TRUE)*(BJ175/1000000)</f>
        <v>#VALUE!</v>
      </c>
      <c r="BL175" s="31" t="e">
        <f>VLOOKUP(M175,[1]EconBenMult!$B$12:$D$14,3,TRUE)*(BJ175/1000000)</f>
        <v>#VALUE!</v>
      </c>
    </row>
    <row r="176" spans="1:68" ht="15" customHeight="1" x14ac:dyDescent="0.2">
      <c r="A176" s="89" t="s">
        <v>683</v>
      </c>
      <c r="B176" s="86">
        <v>2005</v>
      </c>
      <c r="C176" s="86" t="s">
        <v>680</v>
      </c>
      <c r="D176" s="87" t="s">
        <v>1001</v>
      </c>
      <c r="E176" s="87" t="s">
        <v>1002</v>
      </c>
      <c r="F176" s="87" t="s">
        <v>967</v>
      </c>
      <c r="G176" s="90">
        <v>59301</v>
      </c>
      <c r="H176" s="91"/>
      <c r="I176" s="91"/>
      <c r="J176" s="87" t="s">
        <v>968</v>
      </c>
      <c r="K176" s="93">
        <v>0.09</v>
      </c>
      <c r="L176" s="86" t="s">
        <v>74</v>
      </c>
      <c r="M176" s="87" t="s">
        <v>61</v>
      </c>
      <c r="N176" s="86" t="s">
        <v>62</v>
      </c>
      <c r="O176" s="86" t="s">
        <v>683</v>
      </c>
      <c r="P176" s="86"/>
      <c r="Q176" s="144" t="s">
        <v>683</v>
      </c>
      <c r="R176" s="144"/>
      <c r="S176" s="144"/>
      <c r="T176" s="144"/>
      <c r="U176" s="145"/>
      <c r="V176" s="146"/>
      <c r="W176" s="34" t="s">
        <v>683</v>
      </c>
      <c r="Y176" s="34" t="str">
        <f t="shared" si="30"/>
        <v xml:space="preserve"> </v>
      </c>
      <c r="AA176" s="99"/>
      <c r="AC176" s="87" t="s">
        <v>969</v>
      </c>
      <c r="AD176" s="87" t="s">
        <v>970</v>
      </c>
      <c r="AE176" s="87" t="s">
        <v>1003</v>
      </c>
      <c r="AF176" s="87" t="s">
        <v>972</v>
      </c>
      <c r="AG176" s="87" t="s">
        <v>67</v>
      </c>
      <c r="AH176" s="87">
        <v>59301</v>
      </c>
      <c r="AI176" s="37"/>
      <c r="AJ176" s="87" t="s">
        <v>973</v>
      </c>
      <c r="AK176" s="100"/>
      <c r="AL176" s="86">
        <v>0</v>
      </c>
      <c r="AM176" s="87"/>
      <c r="AN176" s="87"/>
      <c r="AO176" s="86">
        <v>3</v>
      </c>
      <c r="AP176" s="86">
        <v>7</v>
      </c>
      <c r="AQ176" s="86">
        <v>11</v>
      </c>
      <c r="AR176" s="86"/>
      <c r="AS176" s="86"/>
      <c r="AT176" s="86"/>
      <c r="AU176" s="86"/>
      <c r="AV176" s="87"/>
      <c r="BJ176" s="40" t="s">
        <v>683</v>
      </c>
      <c r="BK176" s="40" t="e">
        <f>VLOOKUP(M176,[1]EconBenMult!$B$12:$D$14,2,TRUE)*(BJ176/1000000)</f>
        <v>#VALUE!</v>
      </c>
      <c r="BL176" s="31" t="e">
        <f>VLOOKUP(M176,[1]EconBenMult!$B$12:$D$14,3,TRUE)*(BJ176/1000000)</f>
        <v>#VALUE!</v>
      </c>
    </row>
    <row r="177" spans="1:68" ht="15" customHeight="1" x14ac:dyDescent="0.2">
      <c r="B177" s="24">
        <v>2005</v>
      </c>
      <c r="C177" s="24" t="s">
        <v>181</v>
      </c>
      <c r="D177" s="25" t="s">
        <v>1004</v>
      </c>
      <c r="E177" s="25" t="s">
        <v>1005</v>
      </c>
      <c r="F177" s="25" t="s">
        <v>958</v>
      </c>
      <c r="G177" s="26">
        <v>59526</v>
      </c>
      <c r="J177" s="25" t="s">
        <v>959</v>
      </c>
      <c r="K177" s="28">
        <v>0.09</v>
      </c>
      <c r="L177" s="24" t="s">
        <v>188</v>
      </c>
      <c r="M177" s="25" t="s">
        <v>95</v>
      </c>
      <c r="N177" s="24" t="s">
        <v>62</v>
      </c>
      <c r="O177" s="24">
        <v>52</v>
      </c>
      <c r="P177" s="24">
        <v>49</v>
      </c>
      <c r="Q177" s="138">
        <v>4515620</v>
      </c>
      <c r="R177" s="138"/>
      <c r="S177" s="138"/>
      <c r="T177" s="138"/>
      <c r="U177" s="139"/>
      <c r="V177" s="140"/>
      <c r="W177" s="34">
        <v>38930</v>
      </c>
      <c r="Y177" s="34">
        <f t="shared" si="30"/>
        <v>38930</v>
      </c>
      <c r="Z177" s="35">
        <f t="shared" si="31"/>
        <v>44044</v>
      </c>
      <c r="AA177" s="36">
        <v>31</v>
      </c>
      <c r="AB177" s="35">
        <f t="shared" ref="AB177:AB182" si="33">DATE(YEAR(Z177)+AA177,MONTH(Z177),DAY(Z177))</f>
        <v>55366</v>
      </c>
      <c r="AC177" s="25" t="s">
        <v>960</v>
      </c>
      <c r="AD177" s="25" t="s">
        <v>961</v>
      </c>
      <c r="AE177" s="25" t="s">
        <v>1006</v>
      </c>
      <c r="AF177" s="25" t="s">
        <v>963</v>
      </c>
      <c r="AG177" s="25" t="s">
        <v>67</v>
      </c>
      <c r="AH177" s="25">
        <v>59526</v>
      </c>
      <c r="AI177" s="37"/>
      <c r="AJ177" s="25" t="s">
        <v>1007</v>
      </c>
      <c r="AL177" s="24">
        <v>52</v>
      </c>
      <c r="AO177" s="24"/>
      <c r="AP177" s="24">
        <v>4</v>
      </c>
      <c r="AQ177" s="24">
        <v>40</v>
      </c>
      <c r="AR177" s="24">
        <v>4</v>
      </c>
      <c r="AS177" s="24">
        <v>4</v>
      </c>
      <c r="AT177" s="24"/>
      <c r="AU177" s="24" t="s">
        <v>683</v>
      </c>
      <c r="BJ177" s="40">
        <v>5956768</v>
      </c>
      <c r="BK177" s="40">
        <f>VLOOKUP(M177,[1]EconBenMult!$B$12:$D$14,2,TRUE)*(BJ177/1000000)</f>
        <v>71.659919040000005</v>
      </c>
      <c r="BL177" s="31">
        <f>VLOOKUP(M177,[1]EconBenMult!$B$12:$D$14,3,TRUE)*(BJ177/1000000)</f>
        <v>4165144.0383568001</v>
      </c>
    </row>
    <row r="178" spans="1:68" ht="15" customHeight="1" x14ac:dyDescent="0.2">
      <c r="A178" s="34">
        <v>38344</v>
      </c>
      <c r="B178" s="24">
        <v>2005</v>
      </c>
      <c r="C178" s="24" t="s">
        <v>181</v>
      </c>
      <c r="D178" s="25" t="s">
        <v>1008</v>
      </c>
      <c r="E178" s="25" t="s">
        <v>1009</v>
      </c>
      <c r="F178" s="25" t="s">
        <v>517</v>
      </c>
      <c r="G178" s="26">
        <v>59417</v>
      </c>
      <c r="J178" s="25" t="s">
        <v>518</v>
      </c>
      <c r="K178" s="28">
        <v>0.09</v>
      </c>
      <c r="L178" s="24" t="s">
        <v>188</v>
      </c>
      <c r="M178" s="25" t="s">
        <v>95</v>
      </c>
      <c r="N178" s="24" t="s">
        <v>62</v>
      </c>
      <c r="O178" s="24">
        <v>25</v>
      </c>
      <c r="P178" s="24">
        <v>25</v>
      </c>
      <c r="Q178" s="141">
        <v>3059280</v>
      </c>
      <c r="R178" s="141"/>
      <c r="S178" s="141"/>
      <c r="T178" s="141"/>
      <c r="U178" s="142"/>
      <c r="V178" s="143"/>
      <c r="W178" s="34">
        <v>39211</v>
      </c>
      <c r="Y178" s="34">
        <f t="shared" si="30"/>
        <v>39211</v>
      </c>
      <c r="Z178" s="35">
        <f t="shared" si="31"/>
        <v>44325</v>
      </c>
      <c r="AA178" s="36">
        <v>31</v>
      </c>
      <c r="AB178" s="35">
        <f t="shared" si="33"/>
        <v>55648</v>
      </c>
      <c r="AC178" s="25" t="s">
        <v>1010</v>
      </c>
      <c r="AD178" s="25" t="s">
        <v>1011</v>
      </c>
      <c r="AE178" s="25" t="s">
        <v>953</v>
      </c>
      <c r="AF178" s="25" t="s">
        <v>1012</v>
      </c>
      <c r="AG178" s="25" t="s">
        <v>67</v>
      </c>
      <c r="AH178" s="25">
        <v>59417</v>
      </c>
      <c r="AI178" s="37"/>
      <c r="AJ178" s="25" t="s">
        <v>955</v>
      </c>
      <c r="AL178" s="24">
        <v>23</v>
      </c>
      <c r="AO178" s="24" t="s">
        <v>683</v>
      </c>
      <c r="AP178" s="24" t="s">
        <v>683</v>
      </c>
      <c r="AQ178" s="24">
        <v>8</v>
      </c>
      <c r="AR178" s="24">
        <v>15</v>
      </c>
      <c r="AS178" s="24"/>
      <c r="AT178" s="24"/>
      <c r="AU178" s="24" t="s">
        <v>683</v>
      </c>
      <c r="BJ178" s="40">
        <v>4066005</v>
      </c>
      <c r="BK178" s="40">
        <f>VLOOKUP(M178,[1]EconBenMult!$B$12:$D$14,2,TRUE)*(BJ178/1000000)</f>
        <v>48.914040149999991</v>
      </c>
      <c r="BL178" s="31">
        <f>VLOOKUP(M178,[1]EconBenMult!$B$12:$D$14,3,TRUE)*(BJ178/1000000)</f>
        <v>2843068.0002442496</v>
      </c>
    </row>
    <row r="179" spans="1:68" ht="15" customHeight="1" x14ac:dyDescent="0.2">
      <c r="A179" s="34">
        <v>38313</v>
      </c>
      <c r="B179" s="24">
        <v>2004</v>
      </c>
      <c r="C179" s="24" t="s">
        <v>181</v>
      </c>
      <c r="D179" s="25" t="s">
        <v>1013</v>
      </c>
      <c r="E179" s="25" t="s">
        <v>1014</v>
      </c>
      <c r="F179" s="25" t="s">
        <v>113</v>
      </c>
      <c r="G179" s="26">
        <v>59102</v>
      </c>
      <c r="J179" s="25" t="s">
        <v>175</v>
      </c>
      <c r="K179" s="28">
        <v>0.04</v>
      </c>
      <c r="M179" s="25" t="s">
        <v>61</v>
      </c>
      <c r="N179" s="24" t="s">
        <v>62</v>
      </c>
      <c r="O179" s="29">
        <v>112</v>
      </c>
      <c r="P179" s="24">
        <v>12</v>
      </c>
      <c r="Q179" s="30">
        <v>2314310</v>
      </c>
      <c r="R179" s="30"/>
      <c r="S179" s="30"/>
      <c r="T179" s="30"/>
      <c r="W179" s="34">
        <v>38418</v>
      </c>
      <c r="Y179" s="34">
        <f t="shared" si="30"/>
        <v>38418</v>
      </c>
      <c r="Z179" s="35">
        <f t="shared" si="31"/>
        <v>43531</v>
      </c>
      <c r="AA179" s="36">
        <v>5</v>
      </c>
      <c r="AB179" s="35">
        <f t="shared" si="33"/>
        <v>45358</v>
      </c>
      <c r="AC179" s="25" t="s">
        <v>1015</v>
      </c>
      <c r="AD179" s="25" t="s">
        <v>1016</v>
      </c>
      <c r="AE179" s="25" t="s">
        <v>1017</v>
      </c>
      <c r="AF179" s="25" t="s">
        <v>935</v>
      </c>
      <c r="AG179" s="25" t="s">
        <v>688</v>
      </c>
      <c r="AH179" s="25">
        <v>80202</v>
      </c>
      <c r="AI179" s="37"/>
      <c r="AJ179" s="25" t="s">
        <v>936</v>
      </c>
      <c r="BJ179" s="40">
        <v>6542294</v>
      </c>
      <c r="BK179" s="40">
        <f>VLOOKUP(M179,[1]EconBenMult!$B$12:$D$14,2,TRUE)*(BJ179/1000000)</f>
        <v>50.768201439999999</v>
      </c>
      <c r="BL179" s="31">
        <f>VLOOKUP(M179,[1]EconBenMult!$B$12:$D$14,3,TRUE)*(BJ179/1000000)</f>
        <v>2801593.7367237597</v>
      </c>
    </row>
    <row r="180" spans="1:68" s="62" customFormat="1" ht="15" customHeight="1" x14ac:dyDescent="0.2">
      <c r="A180" s="34">
        <v>38344</v>
      </c>
      <c r="B180" s="24">
        <v>2004</v>
      </c>
      <c r="C180" s="24" t="s">
        <v>181</v>
      </c>
      <c r="D180" s="25" t="s">
        <v>1018</v>
      </c>
      <c r="E180" s="25" t="s">
        <v>1019</v>
      </c>
      <c r="F180" s="25" t="s">
        <v>103</v>
      </c>
      <c r="G180" s="26">
        <v>59601</v>
      </c>
      <c r="H180" s="27"/>
      <c r="I180" s="27"/>
      <c r="J180" s="44" t="s">
        <v>104</v>
      </c>
      <c r="K180" s="28">
        <v>0.09</v>
      </c>
      <c r="L180" s="24" t="s">
        <v>812</v>
      </c>
      <c r="M180" s="25" t="s">
        <v>95</v>
      </c>
      <c r="N180" s="24" t="s">
        <v>62</v>
      </c>
      <c r="O180" s="29">
        <v>31</v>
      </c>
      <c r="P180" s="24">
        <v>5</v>
      </c>
      <c r="Q180" s="30">
        <v>2345000</v>
      </c>
      <c r="R180" s="30"/>
      <c r="S180" s="30"/>
      <c r="T180" s="30"/>
      <c r="U180" s="32"/>
      <c r="V180" s="33"/>
      <c r="W180" s="34">
        <v>38504</v>
      </c>
      <c r="X180" s="34"/>
      <c r="Y180" s="34">
        <f t="shared" si="30"/>
        <v>38504</v>
      </c>
      <c r="Z180" s="35">
        <f t="shared" si="31"/>
        <v>43617</v>
      </c>
      <c r="AA180" s="36">
        <v>16</v>
      </c>
      <c r="AB180" s="35">
        <f t="shared" si="33"/>
        <v>49461</v>
      </c>
      <c r="AC180" s="25" t="s">
        <v>1020</v>
      </c>
      <c r="AD180" s="25" t="s">
        <v>1021</v>
      </c>
      <c r="AE180" s="25" t="s">
        <v>1022</v>
      </c>
      <c r="AF180" s="25" t="s">
        <v>666</v>
      </c>
      <c r="AG180" s="25" t="s">
        <v>67</v>
      </c>
      <c r="AH180" s="25">
        <v>59601</v>
      </c>
      <c r="AI180" s="37"/>
      <c r="AJ180" s="25" t="s">
        <v>1023</v>
      </c>
      <c r="AK180" s="42"/>
      <c r="AL180" s="24">
        <v>31</v>
      </c>
      <c r="AM180" s="25"/>
      <c r="AN180" s="25"/>
      <c r="AO180" s="25">
        <v>23</v>
      </c>
      <c r="AP180" s="25">
        <v>8</v>
      </c>
      <c r="AQ180" s="25"/>
      <c r="AR180" s="25"/>
      <c r="AS180" s="25"/>
      <c r="AT180" s="25"/>
      <c r="AU180" s="25"/>
      <c r="AV180" s="25"/>
      <c r="AW180" s="60"/>
      <c r="AX180" s="60"/>
      <c r="AY180" s="60"/>
      <c r="AZ180" s="60"/>
      <c r="BA180" s="60"/>
      <c r="BB180" s="60"/>
      <c r="BC180" s="60"/>
      <c r="BD180" s="60"/>
      <c r="BE180" s="60"/>
      <c r="BJ180" s="40">
        <v>2921650</v>
      </c>
      <c r="BK180" s="40">
        <f>VLOOKUP(M180,[1]EconBenMult!$B$12:$D$14,2,TRUE)*(BJ180/1000000)</f>
        <v>35.1474495</v>
      </c>
      <c r="BL180" s="31">
        <f>VLOOKUP(M180,[1]EconBenMult!$B$12:$D$14,3,TRUE)*(BJ180/1000000)</f>
        <v>2042901.9696025001</v>
      </c>
      <c r="BM180" s="40"/>
      <c r="BN180" s="40"/>
      <c r="BO180" s="40"/>
      <c r="BP180" s="40"/>
    </row>
    <row r="181" spans="1:68" ht="15" customHeight="1" x14ac:dyDescent="0.2">
      <c r="A181" s="34">
        <v>38344</v>
      </c>
      <c r="B181" s="24">
        <v>2004</v>
      </c>
      <c r="C181" s="24" t="s">
        <v>181</v>
      </c>
      <c r="D181" s="25" t="s">
        <v>160</v>
      </c>
      <c r="E181" s="25" t="s">
        <v>1024</v>
      </c>
      <c r="F181" s="25" t="s">
        <v>108</v>
      </c>
      <c r="G181" s="26">
        <v>59808</v>
      </c>
      <c r="J181" s="25" t="s">
        <v>108</v>
      </c>
      <c r="K181" s="28">
        <v>0.09</v>
      </c>
      <c r="M181" s="25" t="s">
        <v>95</v>
      </c>
      <c r="N181" s="24" t="s">
        <v>62</v>
      </c>
      <c r="O181" s="29">
        <v>30</v>
      </c>
      <c r="P181" s="24">
        <v>3</v>
      </c>
      <c r="Q181" s="30">
        <v>4639000</v>
      </c>
      <c r="R181" s="30"/>
      <c r="S181" s="30"/>
      <c r="T181" s="30"/>
      <c r="W181" s="34">
        <v>38565</v>
      </c>
      <c r="Y181" s="34">
        <f t="shared" si="30"/>
        <v>38565</v>
      </c>
      <c r="Z181" s="35">
        <f t="shared" si="31"/>
        <v>43678</v>
      </c>
      <c r="AA181" s="36">
        <v>16</v>
      </c>
      <c r="AB181" s="35">
        <f t="shared" si="33"/>
        <v>49522</v>
      </c>
      <c r="AC181" s="25" t="s">
        <v>1025</v>
      </c>
      <c r="AD181" s="25" t="s">
        <v>843</v>
      </c>
      <c r="AE181" s="25" t="s">
        <v>1026</v>
      </c>
      <c r="AF181" s="25" t="s">
        <v>745</v>
      </c>
      <c r="AG181" s="25" t="s">
        <v>67</v>
      </c>
      <c r="AH181" s="25">
        <v>59803</v>
      </c>
      <c r="AI181" s="37"/>
      <c r="AJ181" s="25" t="s">
        <v>714</v>
      </c>
      <c r="AL181" s="24">
        <v>31</v>
      </c>
      <c r="AP181" s="25">
        <v>16</v>
      </c>
      <c r="AQ181" s="25">
        <v>15</v>
      </c>
      <c r="BJ181" s="40">
        <v>5098539</v>
      </c>
      <c r="BK181" s="40">
        <f>VLOOKUP(M181,[1]EconBenMult!$B$12:$D$14,2,TRUE)*(BJ181/1000000)</f>
        <v>61.335424169999996</v>
      </c>
      <c r="BL181" s="31">
        <f>VLOOKUP(M181,[1]EconBenMult!$B$12:$D$14,3,TRUE)*(BJ181/1000000)</f>
        <v>3565045.5616501495</v>
      </c>
    </row>
    <row r="182" spans="1:68" ht="15" customHeight="1" x14ac:dyDescent="0.2">
      <c r="A182" s="34">
        <v>38344</v>
      </c>
      <c r="B182" s="24">
        <v>2004</v>
      </c>
      <c r="C182" s="24" t="s">
        <v>181</v>
      </c>
      <c r="D182" s="25" t="s">
        <v>1027</v>
      </c>
      <c r="E182" s="25" t="s">
        <v>1028</v>
      </c>
      <c r="F182" s="25" t="s">
        <v>108</v>
      </c>
      <c r="G182" s="26">
        <v>59801</v>
      </c>
      <c r="J182" s="25" t="s">
        <v>108</v>
      </c>
      <c r="K182" s="28">
        <v>0.09</v>
      </c>
      <c r="L182" s="24" t="s">
        <v>812</v>
      </c>
      <c r="M182" s="25" t="s">
        <v>95</v>
      </c>
      <c r="N182" s="24" t="s">
        <v>62</v>
      </c>
      <c r="O182" s="29">
        <v>16</v>
      </c>
      <c r="P182" s="24">
        <v>8</v>
      </c>
      <c r="Q182" s="30">
        <v>2150000</v>
      </c>
      <c r="R182" s="30"/>
      <c r="S182" s="30"/>
      <c r="T182" s="30"/>
      <c r="W182" s="34">
        <v>38736</v>
      </c>
      <c r="Y182" s="34">
        <f t="shared" si="30"/>
        <v>38736</v>
      </c>
      <c r="Z182" s="35">
        <f t="shared" si="31"/>
        <v>43849</v>
      </c>
      <c r="AA182" s="36">
        <v>16</v>
      </c>
      <c r="AB182" s="35">
        <f t="shared" si="33"/>
        <v>49693</v>
      </c>
      <c r="AC182" s="25" t="s">
        <v>1029</v>
      </c>
      <c r="AD182" s="25" t="s">
        <v>755</v>
      </c>
      <c r="AE182" s="25" t="s">
        <v>1030</v>
      </c>
      <c r="AF182" s="25" t="s">
        <v>745</v>
      </c>
      <c r="AG182" s="25" t="s">
        <v>67</v>
      </c>
      <c r="AH182" s="25">
        <v>59801</v>
      </c>
      <c r="AI182" s="37"/>
      <c r="AJ182" s="25" t="s">
        <v>757</v>
      </c>
      <c r="AL182" s="24">
        <v>16</v>
      </c>
      <c r="AP182" s="25">
        <v>8</v>
      </c>
      <c r="AQ182" s="25">
        <v>8</v>
      </c>
      <c r="BJ182" s="40">
        <v>3461654</v>
      </c>
      <c r="BK182" s="40">
        <f>VLOOKUP(M182,[1]EconBenMult!$B$12:$D$14,2,TRUE)*(BJ182/1000000)</f>
        <v>41.643697619999998</v>
      </c>
      <c r="BL182" s="31">
        <f>VLOOKUP(M182,[1]EconBenMult!$B$12:$D$14,3,TRUE)*(BJ182/1000000)</f>
        <v>2420488.3455178998</v>
      </c>
    </row>
    <row r="183" spans="1:68" ht="15" customHeight="1" x14ac:dyDescent="0.2">
      <c r="A183" s="89" t="s">
        <v>683</v>
      </c>
      <c r="B183" s="86">
        <v>2004</v>
      </c>
      <c r="C183" s="86" t="s">
        <v>680</v>
      </c>
      <c r="D183" s="87" t="s">
        <v>1031</v>
      </c>
      <c r="E183" s="87" t="s">
        <v>1032</v>
      </c>
      <c r="F183" s="87" t="s">
        <v>93</v>
      </c>
      <c r="G183" s="90">
        <v>59715</v>
      </c>
      <c r="H183" s="91"/>
      <c r="I183" s="91"/>
      <c r="J183" s="87" t="s">
        <v>94</v>
      </c>
      <c r="K183" s="93">
        <v>0.09</v>
      </c>
      <c r="L183" s="86" t="s">
        <v>812</v>
      </c>
      <c r="M183" s="87" t="s">
        <v>95</v>
      </c>
      <c r="N183" s="86" t="s">
        <v>347</v>
      </c>
      <c r="O183" s="94" t="s">
        <v>683</v>
      </c>
      <c r="P183" s="86"/>
      <c r="Q183" s="95" t="s">
        <v>683</v>
      </c>
      <c r="R183" s="95"/>
      <c r="S183" s="95"/>
      <c r="T183" s="95"/>
      <c r="U183" s="96"/>
      <c r="V183" s="97"/>
      <c r="W183" s="34" t="s">
        <v>683</v>
      </c>
      <c r="Y183" s="34" t="str">
        <f t="shared" si="30"/>
        <v xml:space="preserve"> </v>
      </c>
      <c r="AA183" s="99"/>
      <c r="AC183" s="87"/>
      <c r="AD183" s="87"/>
      <c r="AE183" s="87"/>
      <c r="AF183" s="87"/>
      <c r="AG183" s="87"/>
      <c r="AH183" s="87"/>
      <c r="AI183" s="37"/>
      <c r="AJ183" s="87"/>
      <c r="AK183" s="100"/>
      <c r="AL183" s="86"/>
      <c r="AM183" s="87"/>
      <c r="AN183" s="87"/>
      <c r="AO183" s="87"/>
      <c r="AP183" s="87"/>
      <c r="AQ183" s="87"/>
      <c r="AR183" s="87"/>
      <c r="AS183" s="87"/>
      <c r="AT183" s="87"/>
      <c r="AU183" s="87"/>
      <c r="AV183" s="87"/>
      <c r="BJ183" s="40" t="s">
        <v>683</v>
      </c>
      <c r="BK183" s="40" t="e">
        <f>VLOOKUP(M183,[1]EconBenMult!$B$12:$D$14,2,TRUE)*(BJ183/1000000)</f>
        <v>#VALUE!</v>
      </c>
      <c r="BL183" s="31" t="e">
        <f>VLOOKUP(M183,[1]EconBenMult!$B$12:$D$14,3,TRUE)*(BJ183/1000000)</f>
        <v>#VALUE!</v>
      </c>
    </row>
    <row r="184" spans="1:68" ht="15" customHeight="1" x14ac:dyDescent="0.2">
      <c r="A184" s="89" t="s">
        <v>683</v>
      </c>
      <c r="B184" s="86">
        <v>2004</v>
      </c>
      <c r="C184" s="86" t="s">
        <v>680</v>
      </c>
      <c r="D184" s="87" t="s">
        <v>1033</v>
      </c>
      <c r="E184" s="87" t="s">
        <v>1034</v>
      </c>
      <c r="F184" s="87" t="s">
        <v>108</v>
      </c>
      <c r="G184" s="90">
        <v>59801</v>
      </c>
      <c r="H184" s="91"/>
      <c r="I184" s="91"/>
      <c r="J184" s="87" t="s">
        <v>108</v>
      </c>
      <c r="K184" s="93">
        <v>0.09</v>
      </c>
      <c r="L184" s="86" t="s">
        <v>1035</v>
      </c>
      <c r="M184" s="87" t="s">
        <v>61</v>
      </c>
      <c r="N184" s="86" t="s">
        <v>62</v>
      </c>
      <c r="O184" s="94" t="s">
        <v>683</v>
      </c>
      <c r="P184" s="86"/>
      <c r="Q184" s="95" t="s">
        <v>683</v>
      </c>
      <c r="R184" s="95"/>
      <c r="S184" s="95"/>
      <c r="T184" s="95"/>
      <c r="U184" s="96"/>
      <c r="V184" s="97"/>
      <c r="W184" s="34" t="s">
        <v>683</v>
      </c>
      <c r="Y184" s="34" t="str">
        <f t="shared" si="30"/>
        <v xml:space="preserve"> </v>
      </c>
      <c r="AA184" s="99"/>
      <c r="AC184" s="87"/>
      <c r="AD184" s="87"/>
      <c r="AE184" s="87"/>
      <c r="AF184" s="87"/>
      <c r="AG184" s="87"/>
      <c r="AH184" s="87"/>
      <c r="AI184" s="37"/>
      <c r="AJ184" s="87"/>
      <c r="AK184" s="100"/>
      <c r="AL184" s="86"/>
      <c r="AM184" s="87"/>
      <c r="AN184" s="87"/>
      <c r="AO184" s="87"/>
      <c r="AP184" s="87"/>
      <c r="AQ184" s="87"/>
      <c r="AR184" s="87"/>
      <c r="AS184" s="87"/>
      <c r="AT184" s="87"/>
      <c r="AU184" s="87"/>
      <c r="AV184" s="87"/>
      <c r="BJ184" s="40" t="s">
        <v>683</v>
      </c>
      <c r="BK184" s="40" t="e">
        <f>VLOOKUP(M184,[1]EconBenMult!$B$12:$D$14,2,TRUE)*(BJ184/1000000)</f>
        <v>#VALUE!</v>
      </c>
      <c r="BL184" s="31" t="e">
        <f>VLOOKUP(M184,[1]EconBenMult!$B$12:$D$14,3,TRUE)*(BJ184/1000000)</f>
        <v>#VALUE!</v>
      </c>
    </row>
    <row r="185" spans="1:68" ht="15" customHeight="1" x14ac:dyDescent="0.2">
      <c r="A185" s="34">
        <v>38344</v>
      </c>
      <c r="B185" s="24">
        <v>2004</v>
      </c>
      <c r="C185" s="24" t="s">
        <v>181</v>
      </c>
      <c r="D185" s="25" t="s">
        <v>1036</v>
      </c>
      <c r="E185" s="25" t="s">
        <v>1037</v>
      </c>
      <c r="F185" s="25" t="s">
        <v>1038</v>
      </c>
      <c r="G185" s="26">
        <v>59855</v>
      </c>
      <c r="J185" s="25" t="s">
        <v>526</v>
      </c>
      <c r="K185" s="28">
        <v>0.09</v>
      </c>
      <c r="L185" s="24" t="s">
        <v>188</v>
      </c>
      <c r="M185" s="25" t="s">
        <v>95</v>
      </c>
      <c r="N185" s="24" t="s">
        <v>62</v>
      </c>
      <c r="O185" s="29">
        <v>12</v>
      </c>
      <c r="P185" s="24">
        <v>6</v>
      </c>
      <c r="Q185" s="30">
        <v>775360</v>
      </c>
      <c r="R185" s="30"/>
      <c r="S185" s="30"/>
      <c r="T185" s="30"/>
      <c r="W185" s="34">
        <v>38937</v>
      </c>
      <c r="Y185" s="34">
        <f t="shared" si="30"/>
        <v>38937</v>
      </c>
      <c r="Z185" s="35">
        <f t="shared" si="31"/>
        <v>44051</v>
      </c>
      <c r="AA185" s="36">
        <v>16</v>
      </c>
      <c r="AB185" s="35">
        <f>DATE(YEAR(Z185)+AA185,MONTH(Z185),DAY(Z185))</f>
        <v>49895</v>
      </c>
      <c r="AC185" s="25" t="s">
        <v>1039</v>
      </c>
      <c r="AD185" s="25" t="s">
        <v>1040</v>
      </c>
      <c r="AE185" s="25" t="s">
        <v>1041</v>
      </c>
      <c r="AF185" s="25" t="s">
        <v>1042</v>
      </c>
      <c r="AG185" s="25" t="s">
        <v>67</v>
      </c>
      <c r="AH185" s="25">
        <v>59855</v>
      </c>
      <c r="AI185" s="37"/>
      <c r="AJ185" s="25" t="s">
        <v>1043</v>
      </c>
      <c r="AL185" s="24">
        <v>12</v>
      </c>
      <c r="AP185" s="25">
        <v>12</v>
      </c>
      <c r="BJ185" s="40">
        <v>1444506</v>
      </c>
      <c r="BK185" s="40">
        <f>VLOOKUP(M185,[1]EconBenMult!$B$12:$D$14,2,TRUE)*(BJ185/1000000)</f>
        <v>17.377407179999999</v>
      </c>
      <c r="BL185" s="31">
        <f>VLOOKUP(M185,[1]EconBenMult!$B$12:$D$14,3,TRUE)*(BJ185/1000000)</f>
        <v>1010040.2691981</v>
      </c>
    </row>
    <row r="186" spans="1:68" ht="15" customHeight="1" x14ac:dyDescent="0.2">
      <c r="A186" s="34">
        <v>38344</v>
      </c>
      <c r="B186" s="24">
        <v>2004</v>
      </c>
      <c r="C186" s="24" t="s">
        <v>181</v>
      </c>
      <c r="D186" s="25" t="s">
        <v>1044</v>
      </c>
      <c r="E186" s="25" t="s">
        <v>1045</v>
      </c>
      <c r="F186" s="25" t="s">
        <v>108</v>
      </c>
      <c r="G186" s="26">
        <v>59801</v>
      </c>
      <c r="J186" s="25" t="s">
        <v>108</v>
      </c>
      <c r="K186" s="28">
        <v>0.09</v>
      </c>
      <c r="L186" s="24" t="s">
        <v>812</v>
      </c>
      <c r="M186" s="25" t="s">
        <v>95</v>
      </c>
      <c r="N186" s="24" t="s">
        <v>62</v>
      </c>
      <c r="O186" s="29">
        <v>35</v>
      </c>
      <c r="P186" s="24">
        <v>4</v>
      </c>
      <c r="Q186" s="30">
        <v>4777960</v>
      </c>
      <c r="R186" s="30"/>
      <c r="S186" s="30"/>
      <c r="T186" s="30"/>
      <c r="W186" s="34">
        <v>38687</v>
      </c>
      <c r="Y186" s="34">
        <f t="shared" si="30"/>
        <v>38687</v>
      </c>
      <c r="Z186" s="35">
        <f t="shared" si="31"/>
        <v>43800</v>
      </c>
      <c r="AA186" s="36">
        <v>20</v>
      </c>
      <c r="AB186" s="35">
        <f>DATE(YEAR(Z186)+AA186,MONTH(Z186),DAY(Z186))</f>
        <v>51105</v>
      </c>
      <c r="AC186" s="25" t="s">
        <v>1046</v>
      </c>
      <c r="AD186" s="25" t="s">
        <v>818</v>
      </c>
      <c r="AE186" s="25" t="s">
        <v>1047</v>
      </c>
      <c r="AF186" s="25" t="s">
        <v>745</v>
      </c>
      <c r="AG186" s="25" t="s">
        <v>67</v>
      </c>
      <c r="AH186" s="25">
        <v>59802</v>
      </c>
      <c r="AI186" s="37"/>
      <c r="AJ186" s="25" t="s">
        <v>781</v>
      </c>
      <c r="AL186" s="24">
        <v>35</v>
      </c>
      <c r="AO186" s="25">
        <v>18</v>
      </c>
      <c r="AP186" s="25">
        <v>12</v>
      </c>
      <c r="AQ186" s="25">
        <v>5</v>
      </c>
      <c r="BJ186" s="40">
        <v>6757322</v>
      </c>
      <c r="BK186" s="40">
        <f>VLOOKUP(M186,[1]EconBenMult!$B$12:$D$14,2,TRUE)*(BJ186/1000000)</f>
        <v>81.290583659999996</v>
      </c>
      <c r="BL186" s="31">
        <f>VLOOKUP(M186,[1]EconBenMult!$B$12:$D$14,3,TRUE)*(BJ186/1000000)</f>
        <v>4724914.4911396997</v>
      </c>
    </row>
    <row r="187" spans="1:68" ht="15" customHeight="1" x14ac:dyDescent="0.2">
      <c r="A187" s="34">
        <v>38344</v>
      </c>
      <c r="B187" s="24">
        <v>2004</v>
      </c>
      <c r="C187" s="24" t="s">
        <v>181</v>
      </c>
      <c r="D187" s="25" t="s">
        <v>1048</v>
      </c>
      <c r="E187" s="25" t="s">
        <v>1049</v>
      </c>
      <c r="F187" s="25" t="s">
        <v>93</v>
      </c>
      <c r="G187" s="26">
        <v>59715</v>
      </c>
      <c r="J187" s="25" t="s">
        <v>94</v>
      </c>
      <c r="K187" s="28">
        <v>0.09</v>
      </c>
      <c r="M187" s="25" t="s">
        <v>95</v>
      </c>
      <c r="N187" s="24" t="s">
        <v>62</v>
      </c>
      <c r="O187" s="29">
        <v>46</v>
      </c>
      <c r="P187" s="24">
        <v>3</v>
      </c>
      <c r="Q187" s="30">
        <v>5187500</v>
      </c>
      <c r="R187" s="30"/>
      <c r="S187" s="30"/>
      <c r="T187" s="30"/>
      <c r="W187" s="34">
        <v>38504</v>
      </c>
      <c r="Y187" s="34">
        <f t="shared" si="30"/>
        <v>38504</v>
      </c>
      <c r="Z187" s="35">
        <f t="shared" si="31"/>
        <v>43617</v>
      </c>
      <c r="AA187" s="36">
        <v>16</v>
      </c>
      <c r="AB187" s="35">
        <f>DATE(YEAR(Z187)+AA187,MONTH(Z187),DAY(Z187))</f>
        <v>49461</v>
      </c>
      <c r="AC187" s="25" t="s">
        <v>1050</v>
      </c>
      <c r="AD187" s="25" t="s">
        <v>1051</v>
      </c>
      <c r="AE187" s="25" t="s">
        <v>985</v>
      </c>
      <c r="AF187" s="25" t="s">
        <v>986</v>
      </c>
      <c r="AG187" s="25" t="s">
        <v>67</v>
      </c>
      <c r="AH187" s="25">
        <v>59718</v>
      </c>
      <c r="AI187" s="37"/>
      <c r="AJ187" s="25" t="s">
        <v>987</v>
      </c>
      <c r="AL187" s="24">
        <v>46</v>
      </c>
      <c r="AO187" s="25">
        <v>18</v>
      </c>
      <c r="AP187" s="25">
        <v>28</v>
      </c>
      <c r="BJ187" s="40">
        <v>5238586</v>
      </c>
      <c r="BK187" s="40">
        <f>VLOOKUP(M187,[1]EconBenMult!$B$12:$D$14,2,TRUE)*(BJ187/1000000)</f>
        <v>63.020189579999993</v>
      </c>
      <c r="BL187" s="31">
        <f>VLOOKUP(M187,[1]EconBenMult!$B$12:$D$14,3,TRUE)*(BJ187/1000000)</f>
        <v>3662970.4644060996</v>
      </c>
    </row>
    <row r="188" spans="1:68" ht="15" customHeight="1" x14ac:dyDescent="0.2">
      <c r="A188" s="34">
        <v>38344</v>
      </c>
      <c r="B188" s="24">
        <v>2004</v>
      </c>
      <c r="C188" s="24" t="s">
        <v>181</v>
      </c>
      <c r="D188" s="25" t="s">
        <v>1052</v>
      </c>
      <c r="E188" s="25" t="s">
        <v>1053</v>
      </c>
      <c r="F188" s="25" t="s">
        <v>1054</v>
      </c>
      <c r="J188" s="25" t="s">
        <v>409</v>
      </c>
      <c r="K188" s="28">
        <v>0.09</v>
      </c>
      <c r="L188" s="24" t="s">
        <v>1035</v>
      </c>
      <c r="M188" s="25" t="s">
        <v>95</v>
      </c>
      <c r="N188" s="24" t="s">
        <v>62</v>
      </c>
      <c r="O188" s="29">
        <v>10</v>
      </c>
      <c r="P188" s="24">
        <v>1</v>
      </c>
      <c r="Q188" s="30">
        <v>1122130</v>
      </c>
      <c r="R188" s="30"/>
      <c r="S188" s="30"/>
      <c r="T188" s="30"/>
      <c r="W188" s="34">
        <v>39082</v>
      </c>
      <c r="Y188" s="34">
        <f t="shared" si="30"/>
        <v>39082</v>
      </c>
      <c r="Z188" s="35">
        <f t="shared" si="31"/>
        <v>44196</v>
      </c>
      <c r="AA188" s="36">
        <v>16</v>
      </c>
      <c r="AB188" s="35">
        <f>DATE(YEAR(Z188)+AA188,MONTH(Z188),DAY(Z188))</f>
        <v>50040</v>
      </c>
      <c r="AC188" s="25" t="s">
        <v>1055</v>
      </c>
      <c r="AD188" s="25" t="s">
        <v>1056</v>
      </c>
      <c r="AE188" s="25" t="s">
        <v>1057</v>
      </c>
      <c r="AF188" s="25" t="s">
        <v>998</v>
      </c>
      <c r="AG188" s="25" t="s">
        <v>216</v>
      </c>
      <c r="AH188" s="25">
        <v>83607</v>
      </c>
      <c r="AI188" s="37"/>
      <c r="AJ188" s="25" t="s">
        <v>1000</v>
      </c>
      <c r="AL188" s="24">
        <v>10</v>
      </c>
      <c r="AP188" s="25">
        <v>4</v>
      </c>
      <c r="AQ188" s="25">
        <v>6</v>
      </c>
      <c r="BJ188" s="40">
        <v>1024463</v>
      </c>
      <c r="BK188" s="40">
        <f>VLOOKUP(M188,[1]EconBenMult!$B$12:$D$14,2,TRUE)*(BJ188/1000000)</f>
        <v>12.324289889999998</v>
      </c>
      <c r="BL188" s="31">
        <f>VLOOKUP(M188,[1]EconBenMult!$B$12:$D$14,3,TRUE)*(BJ188/1000000)</f>
        <v>716334.08535754995</v>
      </c>
    </row>
    <row r="189" spans="1:68" ht="15" customHeight="1" x14ac:dyDescent="0.2">
      <c r="A189" s="89" t="s">
        <v>683</v>
      </c>
      <c r="B189" s="86">
        <v>2004</v>
      </c>
      <c r="C189" s="86" t="s">
        <v>680</v>
      </c>
      <c r="D189" s="87" t="s">
        <v>1058</v>
      </c>
      <c r="E189" s="87" t="s">
        <v>1059</v>
      </c>
      <c r="F189" s="87" t="s">
        <v>377</v>
      </c>
      <c r="G189" s="90"/>
      <c r="H189" s="91"/>
      <c r="I189" s="91"/>
      <c r="J189" s="87" t="s">
        <v>73</v>
      </c>
      <c r="K189" s="93">
        <v>0.09</v>
      </c>
      <c r="L189" s="86" t="s">
        <v>1035</v>
      </c>
      <c r="M189" s="87" t="s">
        <v>95</v>
      </c>
      <c r="N189" s="86" t="s">
        <v>62</v>
      </c>
      <c r="O189" s="94" t="s">
        <v>683</v>
      </c>
      <c r="P189" s="86"/>
      <c r="Q189" s="95" t="s">
        <v>683</v>
      </c>
      <c r="R189" s="95"/>
      <c r="S189" s="95"/>
      <c r="T189" s="95"/>
      <c r="U189" s="96"/>
      <c r="V189" s="97"/>
      <c r="W189" s="34" t="s">
        <v>683</v>
      </c>
      <c r="Y189" s="34" t="str">
        <f t="shared" si="30"/>
        <v xml:space="preserve"> </v>
      </c>
      <c r="AA189" s="99"/>
      <c r="AC189" s="87" t="s">
        <v>1060</v>
      </c>
      <c r="AD189" s="87"/>
      <c r="AE189" s="87" t="s">
        <v>1061</v>
      </c>
      <c r="AF189" s="87" t="s">
        <v>745</v>
      </c>
      <c r="AG189" s="87" t="s">
        <v>67</v>
      </c>
      <c r="AH189" s="87" t="s">
        <v>1062</v>
      </c>
      <c r="AI189" s="37"/>
      <c r="AJ189" s="87" t="s">
        <v>1063</v>
      </c>
      <c r="AK189" s="100"/>
      <c r="AL189" s="86">
        <v>0</v>
      </c>
      <c r="AM189" s="87"/>
      <c r="AN189" s="87"/>
      <c r="AO189" s="87"/>
      <c r="AP189" s="87"/>
      <c r="AQ189" s="87">
        <v>8</v>
      </c>
      <c r="AR189" s="87"/>
      <c r="AS189" s="87"/>
      <c r="AT189" s="87"/>
      <c r="AU189" s="87"/>
      <c r="AV189" s="87"/>
      <c r="BJ189" s="40" t="s">
        <v>683</v>
      </c>
      <c r="BK189" s="40" t="e">
        <f>VLOOKUP(M189,[1]EconBenMult!$B$12:$D$14,2,TRUE)*(BJ189/1000000)</f>
        <v>#VALUE!</v>
      </c>
      <c r="BL189" s="31" t="e">
        <f>VLOOKUP(M189,[1]EconBenMult!$B$12:$D$14,3,TRUE)*(BJ189/1000000)</f>
        <v>#VALUE!</v>
      </c>
    </row>
    <row r="190" spans="1:68" ht="15" customHeight="1" x14ac:dyDescent="0.2">
      <c r="A190" s="34">
        <v>37974</v>
      </c>
      <c r="B190" s="24">
        <v>2003</v>
      </c>
      <c r="C190" s="24" t="s">
        <v>181</v>
      </c>
      <c r="D190" s="25" t="s">
        <v>1064</v>
      </c>
      <c r="E190" s="25" t="s">
        <v>1065</v>
      </c>
      <c r="F190" s="25" t="s">
        <v>262</v>
      </c>
      <c r="G190" s="26">
        <v>59725</v>
      </c>
      <c r="J190" s="25" t="s">
        <v>263</v>
      </c>
      <c r="K190" s="28">
        <v>0.09</v>
      </c>
      <c r="L190" s="24" t="s">
        <v>812</v>
      </c>
      <c r="M190" s="25" t="s">
        <v>95</v>
      </c>
      <c r="N190" s="24" t="s">
        <v>62</v>
      </c>
      <c r="O190" s="29">
        <v>24</v>
      </c>
      <c r="P190" s="24">
        <v>4</v>
      </c>
      <c r="Q190" s="30">
        <v>1905390</v>
      </c>
      <c r="R190" s="30"/>
      <c r="S190" s="30"/>
      <c r="T190" s="30"/>
      <c r="W190" s="34">
        <v>38660</v>
      </c>
      <c r="Y190" s="34">
        <f t="shared" si="30"/>
        <v>38660</v>
      </c>
      <c r="Z190" s="35">
        <f t="shared" si="31"/>
        <v>43773</v>
      </c>
      <c r="AA190" s="36">
        <v>16</v>
      </c>
      <c r="AB190" s="35">
        <f t="shared" ref="AB190:AB253" si="34">DATE(YEAR(Z190)+AA190,MONTH(Z190),DAY(Z190))</f>
        <v>49617</v>
      </c>
      <c r="AC190" s="25" t="s">
        <v>1066</v>
      </c>
      <c r="AD190" s="25" t="s">
        <v>1056</v>
      </c>
      <c r="AE190" s="25" t="s">
        <v>997</v>
      </c>
      <c r="AF190" s="25" t="s">
        <v>998</v>
      </c>
      <c r="AG190" s="25" t="s">
        <v>216</v>
      </c>
      <c r="AH190" s="25" t="s">
        <v>999</v>
      </c>
      <c r="AI190" s="37"/>
      <c r="AJ190" s="25" t="s">
        <v>1067</v>
      </c>
      <c r="AL190" s="24">
        <v>24</v>
      </c>
      <c r="AN190" s="25" t="s">
        <v>683</v>
      </c>
      <c r="AP190" s="25">
        <v>15</v>
      </c>
      <c r="AQ190" s="25">
        <v>9</v>
      </c>
      <c r="BJ190" s="40">
        <v>2087831</v>
      </c>
      <c r="BK190" s="40">
        <f>VLOOKUP(M190,[1]EconBenMult!$B$12:$D$14,2,TRUE)*(BJ190/1000000)</f>
        <v>25.11660693</v>
      </c>
      <c r="BL190" s="31">
        <f>VLOOKUP(M190,[1]EconBenMult!$B$12:$D$14,3,TRUE)*(BJ190/1000000)</f>
        <v>1459871.66912435</v>
      </c>
    </row>
    <row r="191" spans="1:68" s="62" customFormat="1" ht="15" customHeight="1" x14ac:dyDescent="0.2">
      <c r="A191" s="82" t="s">
        <v>1068</v>
      </c>
      <c r="B191" s="60">
        <v>2003</v>
      </c>
      <c r="C191" s="60" t="s">
        <v>181</v>
      </c>
      <c r="D191" s="62" t="s">
        <v>1069</v>
      </c>
      <c r="E191" s="62" t="s">
        <v>1070</v>
      </c>
      <c r="F191" s="62" t="s">
        <v>113</v>
      </c>
      <c r="G191" s="63">
        <v>59101</v>
      </c>
      <c r="H191" s="64"/>
      <c r="I191" s="64"/>
      <c r="J191" s="62" t="s">
        <v>175</v>
      </c>
      <c r="K191" s="83">
        <v>0.09</v>
      </c>
      <c r="L191" s="60" t="s">
        <v>812</v>
      </c>
      <c r="M191" s="62" t="s">
        <v>61</v>
      </c>
      <c r="N191" s="60" t="s">
        <v>62</v>
      </c>
      <c r="O191" s="68" t="s">
        <v>683</v>
      </c>
      <c r="P191" s="60"/>
      <c r="Q191" s="69">
        <v>1106860</v>
      </c>
      <c r="R191" s="69"/>
      <c r="S191" s="69"/>
      <c r="T191" s="69"/>
      <c r="U191" s="71"/>
      <c r="V191" s="72"/>
      <c r="W191" s="82">
        <v>38278</v>
      </c>
      <c r="X191" s="82"/>
      <c r="Y191" s="34">
        <f t="shared" si="30"/>
        <v>38278</v>
      </c>
      <c r="Z191" s="35">
        <f t="shared" si="31"/>
        <v>43391</v>
      </c>
      <c r="AA191" s="84">
        <v>16</v>
      </c>
      <c r="AB191" s="75">
        <f t="shared" si="34"/>
        <v>49235</v>
      </c>
      <c r="AC191" s="62" t="s">
        <v>1071</v>
      </c>
      <c r="AD191" s="62" t="s">
        <v>1072</v>
      </c>
      <c r="AE191" s="62" t="s">
        <v>1073</v>
      </c>
      <c r="AF191" s="62" t="s">
        <v>745</v>
      </c>
      <c r="AG191" s="62" t="s">
        <v>67</v>
      </c>
      <c r="AH191" s="62">
        <v>59802</v>
      </c>
      <c r="AI191" s="37"/>
      <c r="AJ191" s="62" t="s">
        <v>781</v>
      </c>
      <c r="AK191" s="85"/>
      <c r="AL191" s="60">
        <v>19</v>
      </c>
      <c r="AN191" s="62">
        <v>4</v>
      </c>
      <c r="AO191" s="62">
        <v>12</v>
      </c>
      <c r="AP191" s="62">
        <v>3</v>
      </c>
      <c r="AW191" s="60"/>
      <c r="AX191" s="60"/>
      <c r="AY191" s="60"/>
      <c r="AZ191" s="60"/>
      <c r="BA191" s="60"/>
      <c r="BB191" s="60"/>
      <c r="BC191" s="60"/>
      <c r="BD191" s="60"/>
      <c r="BE191" s="60"/>
      <c r="BJ191" s="40">
        <v>3466959</v>
      </c>
      <c r="BK191" s="40">
        <f>VLOOKUP(M191,[1]EconBenMult!$B$12:$D$14,2,TRUE)*(BJ191/1000000)</f>
        <v>26.90360184</v>
      </c>
      <c r="BL191" s="31">
        <f>VLOOKUP(M191,[1]EconBenMult!$B$12:$D$14,3,TRUE)*(BJ191/1000000)</f>
        <v>1484649.0573303599</v>
      </c>
      <c r="BM191" s="40"/>
      <c r="BN191" s="40"/>
      <c r="BO191" s="40"/>
      <c r="BP191" s="40"/>
    </row>
    <row r="192" spans="1:68" ht="15" customHeight="1" x14ac:dyDescent="0.2">
      <c r="A192" s="34">
        <v>37974</v>
      </c>
      <c r="B192" s="24">
        <v>2003</v>
      </c>
      <c r="C192" s="24" t="s">
        <v>181</v>
      </c>
      <c r="D192" s="25" t="s">
        <v>1074</v>
      </c>
      <c r="E192" s="25" t="s">
        <v>1075</v>
      </c>
      <c r="F192" s="25" t="s">
        <v>1076</v>
      </c>
      <c r="J192" s="25" t="s">
        <v>518</v>
      </c>
      <c r="K192" s="28">
        <v>0.09</v>
      </c>
      <c r="L192" s="24" t="s">
        <v>1077</v>
      </c>
      <c r="M192" s="25" t="s">
        <v>95</v>
      </c>
      <c r="N192" s="24" t="s">
        <v>62</v>
      </c>
      <c r="O192" s="29">
        <v>35</v>
      </c>
      <c r="P192" s="24">
        <v>35</v>
      </c>
      <c r="Q192" s="30">
        <v>5026770</v>
      </c>
      <c r="R192" s="30"/>
      <c r="S192" s="30"/>
      <c r="T192" s="30"/>
      <c r="W192" s="34">
        <v>38289</v>
      </c>
      <c r="Y192" s="34">
        <f t="shared" si="30"/>
        <v>38289</v>
      </c>
      <c r="Z192" s="35">
        <f t="shared" si="31"/>
        <v>43402</v>
      </c>
      <c r="AA192" s="36">
        <v>31</v>
      </c>
      <c r="AB192" s="35">
        <f t="shared" si="34"/>
        <v>54725</v>
      </c>
      <c r="AC192" s="25" t="s">
        <v>951</v>
      </c>
      <c r="AD192" s="25" t="s">
        <v>952</v>
      </c>
      <c r="AE192" s="25" t="s">
        <v>953</v>
      </c>
      <c r="AF192" s="25" t="s">
        <v>1012</v>
      </c>
      <c r="AG192" s="25" t="s">
        <v>67</v>
      </c>
      <c r="AH192" s="25">
        <v>59417</v>
      </c>
      <c r="AI192" s="37"/>
      <c r="AJ192" s="25" t="s">
        <v>1078</v>
      </c>
      <c r="AL192" s="24">
        <v>35</v>
      </c>
      <c r="AQ192" s="25">
        <v>35</v>
      </c>
      <c r="BJ192" s="40">
        <v>4340257</v>
      </c>
      <c r="BK192" s="40">
        <f>VLOOKUP(M192,[1]EconBenMult!$B$12:$D$14,2,TRUE)*(BJ192/1000000)</f>
        <v>52.21329171</v>
      </c>
      <c r="BL192" s="31">
        <f>VLOOKUP(M192,[1]EconBenMult!$B$12:$D$14,3,TRUE)*(BJ192/1000000)</f>
        <v>3034832.9108144501</v>
      </c>
    </row>
    <row r="193" spans="1:68" ht="15" customHeight="1" x14ac:dyDescent="0.2">
      <c r="A193" s="34">
        <v>37974</v>
      </c>
      <c r="B193" s="24">
        <v>2003</v>
      </c>
      <c r="C193" s="24" t="s">
        <v>181</v>
      </c>
      <c r="D193" s="25" t="s">
        <v>219</v>
      </c>
      <c r="E193" s="25" t="s">
        <v>1079</v>
      </c>
      <c r="F193" s="25" t="s">
        <v>93</v>
      </c>
      <c r="G193" s="26">
        <v>59715</v>
      </c>
      <c r="J193" s="25" t="s">
        <v>94</v>
      </c>
      <c r="K193" s="28">
        <v>0.09</v>
      </c>
      <c r="L193" s="24" t="s">
        <v>1080</v>
      </c>
      <c r="M193" s="25" t="s">
        <v>95</v>
      </c>
      <c r="N193" s="24" t="s">
        <v>347</v>
      </c>
      <c r="O193" s="29">
        <v>61</v>
      </c>
      <c r="P193" s="24">
        <v>1</v>
      </c>
      <c r="Q193" s="30">
        <v>5000000</v>
      </c>
      <c r="R193" s="30"/>
      <c r="S193" s="30"/>
      <c r="T193" s="30"/>
      <c r="W193" s="34">
        <v>38336</v>
      </c>
      <c r="Y193" s="34">
        <f t="shared" si="30"/>
        <v>38336</v>
      </c>
      <c r="Z193" s="35">
        <f t="shared" si="31"/>
        <v>43449</v>
      </c>
      <c r="AA193" s="36">
        <v>31</v>
      </c>
      <c r="AB193" s="35">
        <f t="shared" si="34"/>
        <v>54772</v>
      </c>
      <c r="AC193" s="25" t="s">
        <v>1081</v>
      </c>
      <c r="AD193" s="25" t="s">
        <v>1060</v>
      </c>
      <c r="AE193" s="25" t="s">
        <v>1082</v>
      </c>
      <c r="AF193" s="25" t="s">
        <v>745</v>
      </c>
      <c r="AG193" s="25" t="s">
        <v>67</v>
      </c>
      <c r="AH193" s="25">
        <v>59803</v>
      </c>
      <c r="AI193" s="37"/>
      <c r="AJ193" s="25" t="s">
        <v>1083</v>
      </c>
      <c r="AL193" s="24">
        <v>60</v>
      </c>
      <c r="AO193" s="25">
        <v>46</v>
      </c>
      <c r="AP193" s="25">
        <v>14</v>
      </c>
      <c r="BJ193" s="40">
        <v>5753233</v>
      </c>
      <c r="BK193" s="40">
        <f>VLOOKUP(M193,[1]EconBenMult!$B$12:$D$14,2,TRUE)*(BJ193/1000000)</f>
        <v>69.211392989999993</v>
      </c>
      <c r="BL193" s="31">
        <f>VLOOKUP(M193,[1]EconBenMult!$B$12:$D$14,3,TRUE)*(BJ193/1000000)</f>
        <v>4022826.4943720498</v>
      </c>
    </row>
    <row r="194" spans="1:68" ht="15" customHeight="1" x14ac:dyDescent="0.2">
      <c r="A194" s="34">
        <v>37986</v>
      </c>
      <c r="B194" s="24">
        <v>2003</v>
      </c>
      <c r="C194" s="24" t="s">
        <v>181</v>
      </c>
      <c r="D194" s="25" t="s">
        <v>1084</v>
      </c>
      <c r="E194" s="25" t="s">
        <v>1085</v>
      </c>
      <c r="F194" s="25" t="s">
        <v>103</v>
      </c>
      <c r="G194" s="26">
        <v>59601</v>
      </c>
      <c r="J194" s="44" t="s">
        <v>104</v>
      </c>
      <c r="K194" s="28">
        <v>0.09</v>
      </c>
      <c r="L194" s="24" t="s">
        <v>812</v>
      </c>
      <c r="M194" s="25" t="s">
        <v>61</v>
      </c>
      <c r="N194" s="24" t="s">
        <v>347</v>
      </c>
      <c r="O194" s="29">
        <v>66</v>
      </c>
      <c r="P194" s="24">
        <v>1</v>
      </c>
      <c r="Q194" s="30">
        <v>3913030</v>
      </c>
      <c r="R194" s="30"/>
      <c r="S194" s="30"/>
      <c r="T194" s="30"/>
      <c r="W194" s="34">
        <v>38715</v>
      </c>
      <c r="Y194" s="34">
        <f t="shared" si="30"/>
        <v>38715</v>
      </c>
      <c r="Z194" s="35">
        <f t="shared" si="31"/>
        <v>43828</v>
      </c>
      <c r="AA194" s="36">
        <v>16</v>
      </c>
      <c r="AB194" s="35">
        <f t="shared" si="34"/>
        <v>49672</v>
      </c>
      <c r="AC194" s="25" t="s">
        <v>1086</v>
      </c>
      <c r="AD194" s="25" t="s">
        <v>665</v>
      </c>
      <c r="AE194" s="25" t="s">
        <v>948</v>
      </c>
      <c r="AF194" s="25" t="s">
        <v>666</v>
      </c>
      <c r="AG194" s="25" t="s">
        <v>67</v>
      </c>
      <c r="AH194" s="25" t="s">
        <v>814</v>
      </c>
      <c r="AI194" s="37"/>
      <c r="AJ194" s="25" t="s">
        <v>1087</v>
      </c>
      <c r="AL194" s="24">
        <v>66</v>
      </c>
      <c r="AN194" s="25">
        <v>52</v>
      </c>
      <c r="AO194" s="25">
        <v>14</v>
      </c>
      <c r="BJ194" s="40">
        <v>5132772</v>
      </c>
      <c r="BK194" s="40">
        <f>VLOOKUP(M194,[1]EconBenMult!$B$12:$D$14,2,TRUE)*(BJ194/1000000)</f>
        <v>39.83031072</v>
      </c>
      <c r="BL194" s="31">
        <f>VLOOKUP(M194,[1]EconBenMult!$B$12:$D$14,3,TRUE)*(BJ194/1000000)</f>
        <v>2197996.8933268799</v>
      </c>
    </row>
    <row r="195" spans="1:68" s="87" customFormat="1" ht="15" customHeight="1" x14ac:dyDescent="0.2">
      <c r="A195" s="89">
        <v>37974</v>
      </c>
      <c r="B195" s="86">
        <v>2003</v>
      </c>
      <c r="C195" s="86" t="s">
        <v>1088</v>
      </c>
      <c r="D195" s="87" t="s">
        <v>1089</v>
      </c>
      <c r="E195" s="87" t="s">
        <v>1090</v>
      </c>
      <c r="F195" s="87" t="s">
        <v>291</v>
      </c>
      <c r="G195" s="90">
        <v>59829</v>
      </c>
      <c r="H195" s="91"/>
      <c r="I195" s="91"/>
      <c r="J195" s="87" t="s">
        <v>73</v>
      </c>
      <c r="K195" s="93">
        <v>0.09</v>
      </c>
      <c r="L195" s="86" t="s">
        <v>1035</v>
      </c>
      <c r="M195" s="87" t="s">
        <v>95</v>
      </c>
      <c r="N195" s="86" t="s">
        <v>62</v>
      </c>
      <c r="O195" s="94">
        <v>8</v>
      </c>
      <c r="P195" s="86">
        <v>2</v>
      </c>
      <c r="Q195" s="95">
        <v>825000</v>
      </c>
      <c r="R195" s="95"/>
      <c r="S195" s="95"/>
      <c r="T195" s="95"/>
      <c r="U195" s="96"/>
      <c r="V195" s="97"/>
      <c r="W195" s="89">
        <v>38058</v>
      </c>
      <c r="X195" s="89"/>
      <c r="Y195" s="34">
        <f t="shared" si="30"/>
        <v>38058</v>
      </c>
      <c r="Z195" s="35">
        <f t="shared" si="31"/>
        <v>43171</v>
      </c>
      <c r="AA195" s="99">
        <v>15</v>
      </c>
      <c r="AB195" s="136">
        <f t="shared" si="34"/>
        <v>48650</v>
      </c>
      <c r="AC195" s="87" t="s">
        <v>1091</v>
      </c>
      <c r="AD195" s="87" t="s">
        <v>1092</v>
      </c>
      <c r="AE195" s="87" t="s">
        <v>992</v>
      </c>
      <c r="AF195" s="87" t="s">
        <v>745</v>
      </c>
      <c r="AG195" s="87" t="s">
        <v>67</v>
      </c>
      <c r="AH195" s="87">
        <v>59802</v>
      </c>
      <c r="AI195" s="37"/>
      <c r="AJ195" s="87" t="s">
        <v>880</v>
      </c>
      <c r="AK195" s="100"/>
      <c r="AL195" s="86">
        <v>8</v>
      </c>
      <c r="AP195" s="87">
        <v>8</v>
      </c>
      <c r="AW195" s="86"/>
      <c r="AX195" s="86"/>
      <c r="AY195" s="86"/>
      <c r="AZ195" s="86"/>
      <c r="BA195" s="86"/>
      <c r="BB195" s="86"/>
      <c r="BC195" s="86"/>
      <c r="BD195" s="86"/>
      <c r="BE195" s="86"/>
      <c r="BJ195" s="40">
        <v>880432</v>
      </c>
      <c r="BK195" s="40">
        <f>VLOOKUP(M195,[1]EconBenMult!$B$12:$D$14,2,TRUE)*(BJ195/1000000)</f>
        <v>10.591596959999999</v>
      </c>
      <c r="BL195" s="31">
        <f>VLOOKUP(M195,[1]EconBenMult!$B$12:$D$14,3,TRUE)*(BJ195/1000000)</f>
        <v>615623.45486319996</v>
      </c>
      <c r="BM195" s="40"/>
      <c r="BN195" s="40"/>
      <c r="BO195" s="40"/>
      <c r="BP195" s="40"/>
    </row>
    <row r="196" spans="1:68" s="62" customFormat="1" ht="15" customHeight="1" x14ac:dyDescent="0.2">
      <c r="A196" s="82">
        <v>37610</v>
      </c>
      <c r="B196" s="60">
        <v>2002</v>
      </c>
      <c r="C196" s="60" t="s">
        <v>181</v>
      </c>
      <c r="D196" s="62" t="s">
        <v>1093</v>
      </c>
      <c r="E196" s="62" t="s">
        <v>1070</v>
      </c>
      <c r="F196" s="62" t="s">
        <v>113</v>
      </c>
      <c r="G196" s="63">
        <v>59101</v>
      </c>
      <c r="H196" s="64"/>
      <c r="I196" s="64"/>
      <c r="J196" s="62" t="s">
        <v>175</v>
      </c>
      <c r="K196" s="83">
        <v>0.09</v>
      </c>
      <c r="L196" s="60" t="s">
        <v>1094</v>
      </c>
      <c r="M196" s="62" t="s">
        <v>61</v>
      </c>
      <c r="N196" s="60" t="s">
        <v>62</v>
      </c>
      <c r="O196" s="68">
        <v>19</v>
      </c>
      <c r="P196" s="60">
        <v>1</v>
      </c>
      <c r="Q196" s="69">
        <v>1124660</v>
      </c>
      <c r="R196" s="69"/>
      <c r="S196" s="69"/>
      <c r="T196" s="69"/>
      <c r="U196" s="71"/>
      <c r="V196" s="72"/>
      <c r="W196" s="82">
        <v>38278</v>
      </c>
      <c r="X196" s="82"/>
      <c r="Y196" s="34">
        <f t="shared" si="30"/>
        <v>38278</v>
      </c>
      <c r="Z196" s="35">
        <f t="shared" si="31"/>
        <v>43391</v>
      </c>
      <c r="AA196" s="84">
        <v>16</v>
      </c>
      <c r="AB196" s="75">
        <f t="shared" si="34"/>
        <v>49235</v>
      </c>
      <c r="AC196" s="62" t="s">
        <v>1071</v>
      </c>
      <c r="AD196" s="62" t="s">
        <v>1095</v>
      </c>
      <c r="AE196" s="62" t="s">
        <v>1073</v>
      </c>
      <c r="AF196" s="62" t="s">
        <v>745</v>
      </c>
      <c r="AG196" s="62" t="s">
        <v>67</v>
      </c>
      <c r="AH196" s="62">
        <v>59802</v>
      </c>
      <c r="AI196" s="37"/>
      <c r="AJ196" s="62" t="s">
        <v>824</v>
      </c>
      <c r="AK196" s="85"/>
      <c r="AL196" s="68">
        <v>20</v>
      </c>
      <c r="AO196" s="62">
        <v>14</v>
      </c>
      <c r="AP196" s="62">
        <v>5</v>
      </c>
      <c r="AV196" s="62">
        <v>1</v>
      </c>
      <c r="AW196" s="60"/>
      <c r="AX196" s="60"/>
      <c r="AY196" s="60"/>
      <c r="AZ196" s="60"/>
      <c r="BA196" s="60"/>
      <c r="BB196" s="60"/>
      <c r="BC196" s="60"/>
      <c r="BD196" s="60"/>
      <c r="BE196" s="60"/>
      <c r="BJ196" s="40">
        <v>2595299</v>
      </c>
      <c r="BK196" s="40">
        <f>VLOOKUP(M196,[1]EconBenMult!$B$12:$D$14,2,TRUE)*(BJ196/1000000)</f>
        <v>20.13952024</v>
      </c>
      <c r="BL196" s="31">
        <f>VLOOKUP(M196,[1]EconBenMult!$B$12:$D$14,3,TRUE)*(BJ196/1000000)</f>
        <v>1111379.8039839598</v>
      </c>
      <c r="BM196" s="40"/>
      <c r="BN196" s="40"/>
      <c r="BO196" s="40"/>
      <c r="BP196" s="40"/>
    </row>
    <row r="197" spans="1:68" ht="15" customHeight="1" x14ac:dyDescent="0.2">
      <c r="A197" s="34">
        <v>37610</v>
      </c>
      <c r="B197" s="24">
        <v>2002</v>
      </c>
      <c r="C197" s="24" t="s">
        <v>181</v>
      </c>
      <c r="D197" s="25" t="s">
        <v>1096</v>
      </c>
      <c r="E197" s="25" t="s">
        <v>1097</v>
      </c>
      <c r="F197" s="25" t="s">
        <v>1098</v>
      </c>
      <c r="G197" s="26">
        <v>59912</v>
      </c>
      <c r="J197" s="25" t="s">
        <v>59</v>
      </c>
      <c r="K197" s="28">
        <v>0.09</v>
      </c>
      <c r="L197" s="24" t="s">
        <v>1094</v>
      </c>
      <c r="M197" s="25" t="s">
        <v>95</v>
      </c>
      <c r="N197" s="24" t="s">
        <v>347</v>
      </c>
      <c r="O197" s="29">
        <v>24</v>
      </c>
      <c r="P197" s="24">
        <v>7</v>
      </c>
      <c r="Q197" s="30">
        <v>624790</v>
      </c>
      <c r="R197" s="30"/>
      <c r="S197" s="30"/>
      <c r="T197" s="30"/>
      <c r="W197" s="34">
        <v>38338</v>
      </c>
      <c r="Y197" s="34">
        <f t="shared" si="30"/>
        <v>38338</v>
      </c>
      <c r="Z197" s="35">
        <f t="shared" si="31"/>
        <v>43451</v>
      </c>
      <c r="AA197" s="36">
        <v>35</v>
      </c>
      <c r="AB197" s="35">
        <f t="shared" si="34"/>
        <v>56235</v>
      </c>
      <c r="AC197" s="25" t="s">
        <v>1099</v>
      </c>
      <c r="AD197" s="25" t="s">
        <v>1100</v>
      </c>
      <c r="AE197" s="25" t="s">
        <v>1101</v>
      </c>
      <c r="AF197" s="25" t="s">
        <v>1102</v>
      </c>
      <c r="AG197" s="25" t="s">
        <v>67</v>
      </c>
      <c r="AH197" s="25">
        <v>59904</v>
      </c>
      <c r="AI197" s="37"/>
      <c r="AJ197" s="25" t="s">
        <v>1103</v>
      </c>
      <c r="AL197" s="29">
        <v>24</v>
      </c>
      <c r="AO197" s="25">
        <v>20</v>
      </c>
      <c r="AP197" s="25">
        <v>3</v>
      </c>
      <c r="AV197" s="25">
        <v>1</v>
      </c>
      <c r="BJ197" s="40">
        <v>1716146</v>
      </c>
      <c r="BK197" s="40">
        <f>VLOOKUP(M197,[1]EconBenMult!$B$12:$D$14,2,TRUE)*(BJ197/1000000)</f>
        <v>20.64523638</v>
      </c>
      <c r="BL197" s="31">
        <f>VLOOKUP(M197,[1]EconBenMult!$B$12:$D$14,3,TRUE)*(BJ197/1000000)</f>
        <v>1199978.7940121</v>
      </c>
    </row>
    <row r="198" spans="1:68" ht="15" customHeight="1" x14ac:dyDescent="0.2">
      <c r="B198" s="24">
        <v>2002</v>
      </c>
      <c r="C198" s="24" t="s">
        <v>181</v>
      </c>
      <c r="D198" s="25" t="s">
        <v>1104</v>
      </c>
      <c r="E198" s="25" t="s">
        <v>1105</v>
      </c>
      <c r="F198" s="25" t="s">
        <v>415</v>
      </c>
      <c r="G198" s="26">
        <v>59937</v>
      </c>
      <c r="J198" s="25" t="s">
        <v>59</v>
      </c>
      <c r="K198" s="28">
        <v>0.09</v>
      </c>
      <c r="L198" s="24" t="s">
        <v>1094</v>
      </c>
      <c r="M198" s="25" t="s">
        <v>95</v>
      </c>
      <c r="N198" s="24" t="s">
        <v>62</v>
      </c>
      <c r="O198" s="29">
        <v>10</v>
      </c>
      <c r="P198" s="24">
        <v>1</v>
      </c>
      <c r="Q198" s="30">
        <v>700150</v>
      </c>
      <c r="R198" s="30"/>
      <c r="S198" s="30"/>
      <c r="T198" s="30"/>
      <c r="W198" s="34">
        <v>38308</v>
      </c>
      <c r="Y198" s="34">
        <f t="shared" si="30"/>
        <v>38308</v>
      </c>
      <c r="Z198" s="35">
        <f t="shared" si="31"/>
        <v>43421</v>
      </c>
      <c r="AA198" s="36">
        <v>16</v>
      </c>
      <c r="AB198" s="35">
        <f t="shared" si="34"/>
        <v>49265</v>
      </c>
      <c r="AC198" s="25" t="s">
        <v>1106</v>
      </c>
      <c r="AD198" s="25" t="s">
        <v>1107</v>
      </c>
      <c r="AE198" s="25" t="s">
        <v>1108</v>
      </c>
      <c r="AF198" s="25" t="s">
        <v>1109</v>
      </c>
      <c r="AG198" s="25" t="s">
        <v>216</v>
      </c>
      <c r="AH198" s="25">
        <v>83835</v>
      </c>
      <c r="AI198" s="37"/>
      <c r="AJ198" s="25" t="s">
        <v>1110</v>
      </c>
      <c r="AL198" s="29">
        <v>10</v>
      </c>
      <c r="AO198" s="25">
        <v>2</v>
      </c>
      <c r="AP198" s="25">
        <v>6</v>
      </c>
      <c r="AQ198" s="25">
        <v>2</v>
      </c>
      <c r="BJ198" s="40">
        <v>904795</v>
      </c>
      <c r="BK198" s="40">
        <f>VLOOKUP(M198,[1]EconBenMult!$B$12:$D$14,2,TRUE)*(BJ198/1000000)</f>
        <v>10.88468385</v>
      </c>
      <c r="BL198" s="31">
        <f>VLOOKUP(M198,[1]EconBenMult!$B$12:$D$14,3,TRUE)*(BJ198/1000000)</f>
        <v>632658.76733575005</v>
      </c>
    </row>
    <row r="199" spans="1:68" ht="15" customHeight="1" x14ac:dyDescent="0.2">
      <c r="A199" s="34">
        <v>37610</v>
      </c>
      <c r="B199" s="24">
        <v>2002</v>
      </c>
      <c r="C199" s="24" t="s">
        <v>181</v>
      </c>
      <c r="D199" s="25" t="s">
        <v>1111</v>
      </c>
      <c r="E199" s="25" t="s">
        <v>1112</v>
      </c>
      <c r="F199" s="25" t="s">
        <v>103</v>
      </c>
      <c r="G199" s="26">
        <v>59601</v>
      </c>
      <c r="J199" s="44" t="s">
        <v>104</v>
      </c>
      <c r="K199" s="28">
        <v>0.09</v>
      </c>
      <c r="L199" s="24" t="s">
        <v>1113</v>
      </c>
      <c r="M199" s="25" t="s">
        <v>95</v>
      </c>
      <c r="N199" s="24" t="s">
        <v>62</v>
      </c>
      <c r="O199" s="29">
        <v>32</v>
      </c>
      <c r="P199" s="24">
        <v>5</v>
      </c>
      <c r="Q199" s="30">
        <v>2507240</v>
      </c>
      <c r="R199" s="30"/>
      <c r="S199" s="30"/>
      <c r="T199" s="30"/>
      <c r="W199" s="34">
        <v>37834</v>
      </c>
      <c r="Y199" s="34">
        <f t="shared" si="30"/>
        <v>37834</v>
      </c>
      <c r="Z199" s="35">
        <f t="shared" si="31"/>
        <v>42948</v>
      </c>
      <c r="AA199" s="36">
        <v>16</v>
      </c>
      <c r="AB199" s="35">
        <f t="shared" si="34"/>
        <v>48792</v>
      </c>
      <c r="AC199" s="25" t="s">
        <v>1114</v>
      </c>
      <c r="AD199" s="25" t="s">
        <v>665</v>
      </c>
      <c r="AE199" s="25" t="s">
        <v>948</v>
      </c>
      <c r="AF199" s="25" t="s">
        <v>666</v>
      </c>
      <c r="AG199" s="25" t="s">
        <v>67</v>
      </c>
      <c r="AH199" s="25" t="s">
        <v>814</v>
      </c>
      <c r="AI199" s="37"/>
      <c r="AJ199" s="25" t="s">
        <v>1087</v>
      </c>
      <c r="AL199" s="29">
        <v>32</v>
      </c>
      <c r="AO199" s="25">
        <v>32</v>
      </c>
      <c r="BJ199" s="40">
        <v>3250511</v>
      </c>
      <c r="BK199" s="40">
        <f>VLOOKUP(M199,[1]EconBenMult!$B$12:$D$14,2,TRUE)*(BJ199/1000000)</f>
        <v>39.103647329999994</v>
      </c>
      <c r="BL199" s="31">
        <f>VLOOKUP(M199,[1]EconBenMult!$B$12:$D$14,3,TRUE)*(BJ199/1000000)</f>
        <v>2272851.0684423498</v>
      </c>
    </row>
    <row r="200" spans="1:68" ht="15" customHeight="1" x14ac:dyDescent="0.2">
      <c r="A200" s="34">
        <v>37454</v>
      </c>
      <c r="B200" s="24">
        <v>2002</v>
      </c>
      <c r="C200" s="24" t="s">
        <v>181</v>
      </c>
      <c r="D200" s="25" t="s">
        <v>1115</v>
      </c>
      <c r="E200" s="25" t="s">
        <v>1116</v>
      </c>
      <c r="F200" s="25" t="s">
        <v>226</v>
      </c>
      <c r="G200" s="26">
        <v>59044</v>
      </c>
      <c r="J200" s="25" t="s">
        <v>175</v>
      </c>
      <c r="K200" s="28">
        <v>0.09</v>
      </c>
      <c r="L200" s="24" t="s">
        <v>1117</v>
      </c>
      <c r="M200" s="25" t="s">
        <v>95</v>
      </c>
      <c r="N200" s="24" t="s">
        <v>62</v>
      </c>
      <c r="O200" s="29">
        <v>32</v>
      </c>
      <c r="P200" s="24">
        <v>3</v>
      </c>
      <c r="Q200" s="30">
        <v>1673290</v>
      </c>
      <c r="R200" s="30"/>
      <c r="S200" s="30"/>
      <c r="T200" s="30"/>
      <c r="W200" s="34">
        <v>37820</v>
      </c>
      <c r="Y200" s="34">
        <f t="shared" si="30"/>
        <v>37820</v>
      </c>
      <c r="Z200" s="35">
        <f t="shared" si="31"/>
        <v>42934</v>
      </c>
      <c r="AA200" s="36">
        <v>16</v>
      </c>
      <c r="AB200" s="35">
        <f t="shared" si="34"/>
        <v>48778</v>
      </c>
      <c r="AC200" s="25" t="s">
        <v>1118</v>
      </c>
      <c r="AD200" s="25" t="s">
        <v>1119</v>
      </c>
      <c r="AE200" s="25" t="s">
        <v>1120</v>
      </c>
      <c r="AF200" s="25" t="s">
        <v>1121</v>
      </c>
      <c r="AG200" s="25" t="s">
        <v>67</v>
      </c>
      <c r="AH200" s="25">
        <v>59068</v>
      </c>
      <c r="AI200" s="37"/>
      <c r="AJ200" s="25" t="s">
        <v>1122</v>
      </c>
      <c r="AL200" s="29">
        <v>32</v>
      </c>
      <c r="AO200" s="25">
        <v>16</v>
      </c>
      <c r="AP200" s="25">
        <v>15</v>
      </c>
      <c r="AV200" s="25">
        <v>1</v>
      </c>
      <c r="BJ200" s="40">
        <v>1999923</v>
      </c>
      <c r="BK200" s="40">
        <f>VLOOKUP(M200,[1]EconBenMult!$B$12:$D$14,2,TRUE)*(BJ200/1000000)</f>
        <v>24.059073689999998</v>
      </c>
      <c r="BL200" s="31">
        <f>VLOOKUP(M200,[1]EconBenMult!$B$12:$D$14,3,TRUE)*(BJ200/1000000)</f>
        <v>1398403.85937855</v>
      </c>
    </row>
    <row r="201" spans="1:68" ht="15" customHeight="1" x14ac:dyDescent="0.2">
      <c r="A201" s="34">
        <v>37610</v>
      </c>
      <c r="B201" s="24">
        <v>2002</v>
      </c>
      <c r="C201" s="24" t="s">
        <v>181</v>
      </c>
      <c r="D201" s="25" t="s">
        <v>1123</v>
      </c>
      <c r="E201" s="25" t="s">
        <v>1124</v>
      </c>
      <c r="F201" s="25" t="s">
        <v>415</v>
      </c>
      <c r="G201" s="26">
        <v>59937</v>
      </c>
      <c r="J201" s="25" t="s">
        <v>59</v>
      </c>
      <c r="K201" s="28">
        <v>0.09</v>
      </c>
      <c r="L201" s="24" t="s">
        <v>1117</v>
      </c>
      <c r="M201" s="25" t="s">
        <v>95</v>
      </c>
      <c r="N201" s="24" t="s">
        <v>347</v>
      </c>
      <c r="O201" s="29">
        <v>30</v>
      </c>
      <c r="P201" s="24">
        <v>5</v>
      </c>
      <c r="Q201" s="30">
        <v>1590960</v>
      </c>
      <c r="R201" s="30"/>
      <c r="S201" s="30"/>
      <c r="T201" s="30"/>
      <c r="W201" s="34">
        <v>38156</v>
      </c>
      <c r="Y201" s="34">
        <f t="shared" si="30"/>
        <v>38156</v>
      </c>
      <c r="Z201" s="35">
        <f t="shared" si="31"/>
        <v>43269</v>
      </c>
      <c r="AA201" s="36">
        <v>16</v>
      </c>
      <c r="AB201" s="35">
        <f t="shared" si="34"/>
        <v>49113</v>
      </c>
      <c r="AC201" s="25" t="s">
        <v>1125</v>
      </c>
      <c r="AD201" s="25" t="s">
        <v>1126</v>
      </c>
      <c r="AE201" s="25" t="s">
        <v>1108</v>
      </c>
      <c r="AF201" s="25" t="s">
        <v>1109</v>
      </c>
      <c r="AG201" s="25" t="s">
        <v>216</v>
      </c>
      <c r="AH201" s="25">
        <v>83835</v>
      </c>
      <c r="AI201" s="37"/>
      <c r="AJ201" s="25" t="s">
        <v>1110</v>
      </c>
      <c r="AL201" s="29">
        <v>30</v>
      </c>
      <c r="AO201" s="25">
        <v>10</v>
      </c>
      <c r="AP201" s="25">
        <v>19</v>
      </c>
      <c r="AV201" s="25">
        <v>1</v>
      </c>
      <c r="BJ201" s="40">
        <v>2143342</v>
      </c>
      <c r="BK201" s="40">
        <f>VLOOKUP(M201,[1]EconBenMult!$B$12:$D$14,2,TRUE)*(BJ201/1000000)</f>
        <v>25.784404259999999</v>
      </c>
      <c r="BL201" s="31">
        <f>VLOOKUP(M201,[1]EconBenMult!$B$12:$D$14,3,TRUE)*(BJ201/1000000)</f>
        <v>1498686.5618167</v>
      </c>
    </row>
    <row r="202" spans="1:68" s="87" customFormat="1" ht="15" customHeight="1" x14ac:dyDescent="0.2">
      <c r="A202" s="89">
        <v>37610</v>
      </c>
      <c r="B202" s="86">
        <v>2002</v>
      </c>
      <c r="C202" s="86" t="s">
        <v>1088</v>
      </c>
      <c r="D202" s="87" t="s">
        <v>1127</v>
      </c>
      <c r="E202" s="87" t="s">
        <v>1128</v>
      </c>
      <c r="F202" s="87" t="s">
        <v>72</v>
      </c>
      <c r="G202" s="90">
        <v>59840</v>
      </c>
      <c r="H202" s="91"/>
      <c r="I202" s="91"/>
      <c r="J202" s="87" t="s">
        <v>73</v>
      </c>
      <c r="K202" s="93">
        <v>0.09</v>
      </c>
      <c r="L202" s="86" t="s">
        <v>1117</v>
      </c>
      <c r="M202" s="87" t="s">
        <v>95</v>
      </c>
      <c r="N202" s="86" t="s">
        <v>62</v>
      </c>
      <c r="O202" s="94">
        <v>36</v>
      </c>
      <c r="P202" s="86">
        <v>8</v>
      </c>
      <c r="Q202" s="95">
        <v>3450000</v>
      </c>
      <c r="R202" s="95"/>
      <c r="S202" s="95"/>
      <c r="T202" s="95"/>
      <c r="U202" s="96"/>
      <c r="V202" s="97"/>
      <c r="W202" s="89">
        <v>37860</v>
      </c>
      <c r="X202" s="89"/>
      <c r="Y202" s="34">
        <f t="shared" si="30"/>
        <v>37860</v>
      </c>
      <c r="Z202" s="35">
        <f t="shared" si="31"/>
        <v>42974</v>
      </c>
      <c r="AA202" s="99">
        <v>15</v>
      </c>
      <c r="AB202" s="136">
        <f t="shared" si="34"/>
        <v>48453</v>
      </c>
      <c r="AC202" s="87" t="s">
        <v>1129</v>
      </c>
      <c r="AD202" s="87" t="s">
        <v>1092</v>
      </c>
      <c r="AE202" s="87" t="s">
        <v>1130</v>
      </c>
      <c r="AF202" s="87" t="s">
        <v>745</v>
      </c>
      <c r="AG202" s="87" t="s">
        <v>67</v>
      </c>
      <c r="AH202" s="87">
        <v>59802</v>
      </c>
      <c r="AI202" s="37"/>
      <c r="AJ202" s="87" t="s">
        <v>1131</v>
      </c>
      <c r="AK202" s="100"/>
      <c r="AL202" s="94">
        <v>37</v>
      </c>
      <c r="AP202" s="87">
        <v>24</v>
      </c>
      <c r="AQ202" s="87">
        <v>12</v>
      </c>
      <c r="AV202" s="87">
        <v>1</v>
      </c>
      <c r="AW202" s="86"/>
      <c r="AX202" s="86"/>
      <c r="AY202" s="86"/>
      <c r="AZ202" s="86"/>
      <c r="BA202" s="86"/>
      <c r="BB202" s="86"/>
      <c r="BC202" s="86"/>
      <c r="BD202" s="86"/>
      <c r="BE202" s="86"/>
      <c r="BJ202" s="40">
        <v>3465809</v>
      </c>
      <c r="BK202" s="40">
        <f>VLOOKUP(M202,[1]EconBenMult!$B$12:$D$14,2,TRUE)*(BJ202/1000000)</f>
        <v>41.693682269999996</v>
      </c>
      <c r="BL202" s="31">
        <f>VLOOKUP(M202,[1]EconBenMult!$B$12:$D$14,3,TRUE)*(BJ202/1000000)</f>
        <v>2423393.6413896498</v>
      </c>
      <c r="BM202" s="40"/>
      <c r="BN202" s="40"/>
      <c r="BO202" s="40"/>
      <c r="BP202" s="40"/>
    </row>
    <row r="203" spans="1:68" ht="15" customHeight="1" x14ac:dyDescent="0.2">
      <c r="A203" s="34">
        <v>37610</v>
      </c>
      <c r="B203" s="24">
        <v>2002</v>
      </c>
      <c r="C203" s="24" t="s">
        <v>181</v>
      </c>
      <c r="D203" s="25" t="s">
        <v>1132</v>
      </c>
      <c r="E203" s="25" t="s">
        <v>1133</v>
      </c>
      <c r="F203" s="25" t="s">
        <v>1038</v>
      </c>
      <c r="G203" s="26">
        <v>59855</v>
      </c>
      <c r="J203" s="25" t="s">
        <v>441</v>
      </c>
      <c r="K203" s="28">
        <v>0.09</v>
      </c>
      <c r="L203" s="24" t="s">
        <v>1117</v>
      </c>
      <c r="M203" s="25" t="s">
        <v>95</v>
      </c>
      <c r="N203" s="24" t="s">
        <v>62</v>
      </c>
      <c r="O203" s="29">
        <v>18</v>
      </c>
      <c r="P203" s="24">
        <v>18</v>
      </c>
      <c r="Q203" s="30">
        <v>2443170</v>
      </c>
      <c r="R203" s="30"/>
      <c r="S203" s="30"/>
      <c r="T203" s="30"/>
      <c r="W203" s="34">
        <v>37812</v>
      </c>
      <c r="Y203" s="34">
        <f t="shared" si="30"/>
        <v>37812</v>
      </c>
      <c r="Z203" s="35">
        <f t="shared" si="31"/>
        <v>42926</v>
      </c>
      <c r="AA203" s="36">
        <v>15</v>
      </c>
      <c r="AB203" s="35">
        <f t="shared" si="34"/>
        <v>48405</v>
      </c>
      <c r="AC203" s="25" t="s">
        <v>1134</v>
      </c>
      <c r="AD203" s="25" t="s">
        <v>1135</v>
      </c>
      <c r="AE203" s="25" t="s">
        <v>1136</v>
      </c>
      <c r="AF203" s="25" t="s">
        <v>1137</v>
      </c>
      <c r="AG203" s="25" t="s">
        <v>216</v>
      </c>
      <c r="AH203" s="25">
        <v>83616</v>
      </c>
      <c r="AI203" s="37"/>
      <c r="AJ203" s="25" t="s">
        <v>1138</v>
      </c>
      <c r="AL203" s="29">
        <v>18</v>
      </c>
      <c r="AQ203" s="25">
        <v>18</v>
      </c>
      <c r="BJ203" s="40">
        <v>4194600</v>
      </c>
      <c r="BK203" s="40">
        <f>VLOOKUP(M203,[1]EconBenMult!$B$12:$D$14,2,TRUE)*(BJ203/1000000)</f>
        <v>50.461038000000002</v>
      </c>
      <c r="BL203" s="31">
        <f>VLOOKUP(M203,[1]EconBenMult!$B$12:$D$14,3,TRUE)*(BJ203/1000000)</f>
        <v>2932985.33421</v>
      </c>
    </row>
    <row r="204" spans="1:68" ht="15" customHeight="1" x14ac:dyDescent="0.2">
      <c r="A204" s="34">
        <v>37610</v>
      </c>
      <c r="B204" s="24">
        <v>2002</v>
      </c>
      <c r="C204" s="24" t="s">
        <v>181</v>
      </c>
      <c r="D204" s="25" t="s">
        <v>1139</v>
      </c>
      <c r="E204" s="25" t="s">
        <v>1140</v>
      </c>
      <c r="F204" s="25" t="s">
        <v>93</v>
      </c>
      <c r="G204" s="26">
        <v>59715</v>
      </c>
      <c r="J204" s="25" t="s">
        <v>94</v>
      </c>
      <c r="K204" s="28">
        <v>0.09</v>
      </c>
      <c r="L204" s="24" t="s">
        <v>1117</v>
      </c>
      <c r="M204" s="25" t="s">
        <v>95</v>
      </c>
      <c r="N204" s="24" t="s">
        <v>62</v>
      </c>
      <c r="O204" s="29">
        <v>44</v>
      </c>
      <c r="P204" s="24">
        <v>4</v>
      </c>
      <c r="Q204" s="30">
        <v>5000000</v>
      </c>
      <c r="R204" s="30"/>
      <c r="S204" s="30"/>
      <c r="T204" s="30"/>
      <c r="W204" s="34">
        <v>37712</v>
      </c>
      <c r="Y204" s="34">
        <f t="shared" si="30"/>
        <v>37712</v>
      </c>
      <c r="Z204" s="35">
        <f t="shared" si="31"/>
        <v>42826</v>
      </c>
      <c r="AA204" s="36">
        <v>16</v>
      </c>
      <c r="AB204" s="35">
        <f t="shared" si="34"/>
        <v>48670</v>
      </c>
      <c r="AC204" s="25" t="s">
        <v>1141</v>
      </c>
      <c r="AD204" s="25" t="s">
        <v>1142</v>
      </c>
      <c r="AE204" s="25" t="s">
        <v>1143</v>
      </c>
      <c r="AF204" s="25" t="s">
        <v>986</v>
      </c>
      <c r="AG204" s="25" t="s">
        <v>67</v>
      </c>
      <c r="AH204" s="25">
        <v>59718</v>
      </c>
      <c r="AI204" s="37"/>
      <c r="AJ204" s="25" t="s">
        <v>1144</v>
      </c>
      <c r="AL204" s="29">
        <v>44</v>
      </c>
      <c r="AP204" s="25">
        <v>36</v>
      </c>
      <c r="AQ204" s="25">
        <v>7</v>
      </c>
      <c r="AV204" s="25">
        <v>1</v>
      </c>
      <c r="BJ204" s="40">
        <v>5259725</v>
      </c>
      <c r="BK204" s="40">
        <f>VLOOKUP(M204,[1]EconBenMult!$B$12:$D$14,2,TRUE)*(BJ204/1000000)</f>
        <v>63.274491750000003</v>
      </c>
      <c r="BL204" s="31">
        <f>VLOOKUP(M204,[1]EconBenMult!$B$12:$D$14,3,TRUE)*(BJ204/1000000)</f>
        <v>3677751.4630662501</v>
      </c>
    </row>
    <row r="205" spans="1:68" ht="15" customHeight="1" x14ac:dyDescent="0.2">
      <c r="B205" s="24">
        <v>2002</v>
      </c>
      <c r="C205" s="24" t="s">
        <v>181</v>
      </c>
      <c r="D205" s="25" t="s">
        <v>1145</v>
      </c>
      <c r="E205" s="25" t="s">
        <v>1146</v>
      </c>
      <c r="F205" s="25" t="s">
        <v>1038</v>
      </c>
      <c r="G205" s="26">
        <v>59855</v>
      </c>
      <c r="J205" s="25" t="s">
        <v>441</v>
      </c>
      <c r="K205" s="28">
        <v>0.09</v>
      </c>
      <c r="L205" s="24" t="s">
        <v>1117</v>
      </c>
      <c r="M205" s="25" t="s">
        <v>61</v>
      </c>
      <c r="N205" s="24" t="s">
        <v>62</v>
      </c>
      <c r="O205" s="29">
        <v>33</v>
      </c>
      <c r="P205" s="24">
        <v>33</v>
      </c>
      <c r="Q205" s="30">
        <v>2839640</v>
      </c>
      <c r="R205" s="30"/>
      <c r="S205" s="30"/>
      <c r="T205" s="30"/>
      <c r="W205" s="34">
        <v>38077</v>
      </c>
      <c r="Y205" s="34">
        <f t="shared" si="30"/>
        <v>38077</v>
      </c>
      <c r="Z205" s="35">
        <f t="shared" si="31"/>
        <v>43190</v>
      </c>
      <c r="AA205" s="36">
        <v>30</v>
      </c>
      <c r="AB205" s="35">
        <f t="shared" si="34"/>
        <v>54148</v>
      </c>
      <c r="AC205" s="25" t="s">
        <v>1147</v>
      </c>
      <c r="AD205" s="25" t="s">
        <v>1040</v>
      </c>
      <c r="AE205" s="25" t="s">
        <v>1041</v>
      </c>
      <c r="AF205" s="25" t="s">
        <v>1042</v>
      </c>
      <c r="AG205" s="25" t="s">
        <v>67</v>
      </c>
      <c r="AH205" s="25">
        <v>59855</v>
      </c>
      <c r="AI205" s="37"/>
      <c r="AJ205" s="25" t="s">
        <v>1148</v>
      </c>
      <c r="AL205" s="29">
        <v>33</v>
      </c>
      <c r="AP205" s="25">
        <v>4</v>
      </c>
      <c r="AQ205" s="25">
        <v>13</v>
      </c>
      <c r="AR205" s="25">
        <v>16</v>
      </c>
      <c r="BJ205" s="40">
        <v>3115110</v>
      </c>
      <c r="BK205" s="40">
        <f>VLOOKUP(M205,[1]EconBenMult!$B$12:$D$14,2,TRUE)*(BJ205/1000000)</f>
        <v>24.173253599999999</v>
      </c>
      <c r="BL205" s="31">
        <f>VLOOKUP(M205,[1]EconBenMult!$B$12:$D$14,3,TRUE)*(BJ205/1000000)</f>
        <v>1333977.4496843999</v>
      </c>
    </row>
    <row r="206" spans="1:68" s="87" customFormat="1" ht="15" customHeight="1" x14ac:dyDescent="0.2">
      <c r="A206" s="89">
        <v>37610</v>
      </c>
      <c r="B206" s="86">
        <v>2002</v>
      </c>
      <c r="C206" s="86" t="s">
        <v>1088</v>
      </c>
      <c r="D206" s="87" t="s">
        <v>1149</v>
      </c>
      <c r="E206" s="87" t="s">
        <v>1090</v>
      </c>
      <c r="F206" s="87" t="s">
        <v>291</v>
      </c>
      <c r="G206" s="90">
        <v>59829</v>
      </c>
      <c r="H206" s="91"/>
      <c r="I206" s="91"/>
      <c r="J206" s="87" t="s">
        <v>73</v>
      </c>
      <c r="K206" s="93">
        <v>0.09</v>
      </c>
      <c r="L206" s="86" t="s">
        <v>1094</v>
      </c>
      <c r="M206" s="87" t="s">
        <v>95</v>
      </c>
      <c r="N206" s="86" t="s">
        <v>62</v>
      </c>
      <c r="O206" s="94">
        <v>8</v>
      </c>
      <c r="P206" s="86">
        <v>2</v>
      </c>
      <c r="Q206" s="95">
        <v>800000</v>
      </c>
      <c r="R206" s="95"/>
      <c r="S206" s="95"/>
      <c r="T206" s="95"/>
      <c r="U206" s="96"/>
      <c r="V206" s="97"/>
      <c r="W206" s="89">
        <v>37743</v>
      </c>
      <c r="X206" s="89"/>
      <c r="Y206" s="34">
        <f t="shared" si="30"/>
        <v>37743</v>
      </c>
      <c r="Z206" s="35">
        <f t="shared" si="31"/>
        <v>42857</v>
      </c>
      <c r="AA206" s="99">
        <v>15</v>
      </c>
      <c r="AB206" s="136">
        <f t="shared" si="34"/>
        <v>48336</v>
      </c>
      <c r="AC206" s="87" t="s">
        <v>1091</v>
      </c>
      <c r="AD206" s="87" t="s">
        <v>1092</v>
      </c>
      <c r="AE206" s="87" t="s">
        <v>1150</v>
      </c>
      <c r="AF206" s="87" t="s">
        <v>745</v>
      </c>
      <c r="AG206" s="87" t="s">
        <v>67</v>
      </c>
      <c r="AH206" s="87">
        <v>59802</v>
      </c>
      <c r="AI206" s="37"/>
      <c r="AJ206" s="87" t="s">
        <v>1151</v>
      </c>
      <c r="AK206" s="100"/>
      <c r="AL206" s="94">
        <v>8</v>
      </c>
      <c r="AP206" s="87">
        <v>8</v>
      </c>
      <c r="AW206" s="86"/>
      <c r="AX206" s="86"/>
      <c r="AY206" s="86"/>
      <c r="AZ206" s="86"/>
      <c r="BA206" s="86"/>
      <c r="BB206" s="86"/>
      <c r="BC206" s="86"/>
      <c r="BD206" s="86"/>
      <c r="BE206" s="86"/>
      <c r="BJ206" s="40">
        <v>819227</v>
      </c>
      <c r="BK206" s="40">
        <f>VLOOKUP(M206,[1]EconBenMult!$B$12:$D$14,2,TRUE)*(BJ206/1000000)</f>
        <v>9.8553008099999992</v>
      </c>
      <c r="BL206" s="31">
        <f>VLOOKUP(M206,[1]EconBenMult!$B$12:$D$14,3,TRUE)*(BJ206/1000000)</f>
        <v>572827.15309895005</v>
      </c>
      <c r="BM206" s="40"/>
      <c r="BN206" s="40"/>
      <c r="BO206" s="40"/>
      <c r="BP206" s="40"/>
    </row>
    <row r="207" spans="1:68" ht="15" customHeight="1" x14ac:dyDescent="0.2">
      <c r="A207" s="34">
        <v>37610</v>
      </c>
      <c r="B207" s="24">
        <v>2002</v>
      </c>
      <c r="C207" s="24" t="s">
        <v>181</v>
      </c>
      <c r="D207" s="25" t="s">
        <v>1152</v>
      </c>
      <c r="E207" s="25" t="s">
        <v>1153</v>
      </c>
      <c r="F207" s="25" t="s">
        <v>525</v>
      </c>
      <c r="G207" s="26">
        <v>59860</v>
      </c>
      <c r="J207" s="25" t="s">
        <v>441</v>
      </c>
      <c r="K207" s="28">
        <v>0.09</v>
      </c>
      <c r="L207" s="24" t="s">
        <v>1094</v>
      </c>
      <c r="M207" s="25" t="s">
        <v>95</v>
      </c>
      <c r="N207" s="24" t="s">
        <v>347</v>
      </c>
      <c r="O207" s="29">
        <v>20</v>
      </c>
      <c r="P207" s="24">
        <v>6</v>
      </c>
      <c r="Q207" s="30">
        <v>626480</v>
      </c>
      <c r="R207" s="30"/>
      <c r="S207" s="30"/>
      <c r="T207" s="30"/>
      <c r="W207" s="34">
        <v>37847</v>
      </c>
      <c r="Y207" s="34">
        <f t="shared" si="30"/>
        <v>37847</v>
      </c>
      <c r="Z207" s="35">
        <f t="shared" si="31"/>
        <v>42961</v>
      </c>
      <c r="AA207" s="36">
        <v>35</v>
      </c>
      <c r="AB207" s="35">
        <f t="shared" si="34"/>
        <v>55745</v>
      </c>
      <c r="AC207" s="25" t="s">
        <v>1154</v>
      </c>
      <c r="AD207" s="25" t="s">
        <v>1100</v>
      </c>
      <c r="AE207" s="25" t="s">
        <v>1155</v>
      </c>
      <c r="AF207" s="25" t="s">
        <v>1102</v>
      </c>
      <c r="AG207" s="25" t="s">
        <v>67</v>
      </c>
      <c r="AH207" s="25">
        <v>59904</v>
      </c>
      <c r="AI207" s="37"/>
      <c r="AJ207" s="25" t="s">
        <v>1103</v>
      </c>
      <c r="AL207" s="29">
        <v>20</v>
      </c>
      <c r="AO207" s="25">
        <v>16</v>
      </c>
      <c r="AP207" s="25">
        <v>3</v>
      </c>
      <c r="AV207" s="25">
        <v>1</v>
      </c>
      <c r="BJ207" s="40">
        <v>1515873</v>
      </c>
      <c r="BK207" s="40">
        <f>VLOOKUP(M207,[1]EconBenMult!$B$12:$D$14,2,TRUE)*(BJ207/1000000)</f>
        <v>18.235952189999999</v>
      </c>
      <c r="BL207" s="31">
        <f>VLOOKUP(M207,[1]EconBenMult!$B$12:$D$14,3,TRUE)*(BJ207/1000000)</f>
        <v>1059942.13453605</v>
      </c>
    </row>
    <row r="208" spans="1:68" s="87" customFormat="1" ht="15" customHeight="1" x14ac:dyDescent="0.2">
      <c r="A208" s="89">
        <v>37610</v>
      </c>
      <c r="B208" s="86">
        <v>2002</v>
      </c>
      <c r="C208" s="86" t="s">
        <v>1156</v>
      </c>
      <c r="D208" s="87" t="s">
        <v>1157</v>
      </c>
      <c r="E208" s="87" t="s">
        <v>1158</v>
      </c>
      <c r="F208" s="87" t="s">
        <v>350</v>
      </c>
      <c r="G208" s="90">
        <v>59828</v>
      </c>
      <c r="H208" s="91"/>
      <c r="I208" s="91"/>
      <c r="J208" s="87" t="s">
        <v>73</v>
      </c>
      <c r="K208" s="93">
        <v>0.09</v>
      </c>
      <c r="L208" s="86" t="s">
        <v>1094</v>
      </c>
      <c r="M208" s="87" t="s">
        <v>95</v>
      </c>
      <c r="N208" s="86" t="s">
        <v>62</v>
      </c>
      <c r="O208" s="94">
        <v>12</v>
      </c>
      <c r="P208" s="86">
        <v>2</v>
      </c>
      <c r="Q208" s="95">
        <v>1000000</v>
      </c>
      <c r="R208" s="95"/>
      <c r="S208" s="95"/>
      <c r="T208" s="95"/>
      <c r="U208" s="96"/>
      <c r="V208" s="97"/>
      <c r="W208" s="89">
        <v>37530</v>
      </c>
      <c r="X208" s="89"/>
      <c r="Y208" s="34">
        <f t="shared" si="30"/>
        <v>37530</v>
      </c>
      <c r="Z208" s="35">
        <f t="shared" si="31"/>
        <v>42644</v>
      </c>
      <c r="AA208" s="99">
        <v>15</v>
      </c>
      <c r="AB208" s="136">
        <f t="shared" si="34"/>
        <v>48122</v>
      </c>
      <c r="AC208" s="87" t="s">
        <v>1159</v>
      </c>
      <c r="AD208" s="87" t="s">
        <v>1135</v>
      </c>
      <c r="AE208" s="87" t="s">
        <v>1160</v>
      </c>
      <c r="AF208" s="87" t="s">
        <v>1161</v>
      </c>
      <c r="AG208" s="87" t="s">
        <v>216</v>
      </c>
      <c r="AH208" s="87">
        <v>83616</v>
      </c>
      <c r="AI208" s="37"/>
      <c r="AJ208" s="87" t="s">
        <v>1162</v>
      </c>
      <c r="AK208" s="100"/>
      <c r="AL208" s="94">
        <v>12</v>
      </c>
      <c r="AP208" s="87">
        <v>8</v>
      </c>
      <c r="AQ208" s="87">
        <v>4</v>
      </c>
      <c r="AW208" s="86"/>
      <c r="AX208" s="86"/>
      <c r="AY208" s="86"/>
      <c r="AZ208" s="86"/>
      <c r="BA208" s="86"/>
      <c r="BB208" s="86"/>
      <c r="BC208" s="86"/>
      <c r="BD208" s="86"/>
      <c r="BE208" s="86"/>
      <c r="BJ208" s="40">
        <v>989844</v>
      </c>
      <c r="BK208" s="40">
        <f>VLOOKUP(M208,[1]EconBenMult!$B$12:$D$14,2,TRUE)*(BJ208/1000000)</f>
        <v>11.907823319999999</v>
      </c>
      <c r="BL208" s="31">
        <f>VLOOKUP(M208,[1]EconBenMult!$B$12:$D$14,3,TRUE)*(BJ208/1000000)</f>
        <v>692127.48179939995</v>
      </c>
      <c r="BM208" s="40"/>
      <c r="BN208" s="40"/>
      <c r="BO208" s="40"/>
      <c r="BP208" s="40"/>
    </row>
    <row r="209" spans="1:68" ht="15" customHeight="1" x14ac:dyDescent="0.2">
      <c r="A209" s="34">
        <v>37244</v>
      </c>
      <c r="B209" s="24">
        <v>2001</v>
      </c>
      <c r="C209" s="24" t="s">
        <v>181</v>
      </c>
      <c r="D209" s="25" t="s">
        <v>1163</v>
      </c>
      <c r="E209" s="25" t="s">
        <v>1164</v>
      </c>
      <c r="F209" s="25" t="s">
        <v>1038</v>
      </c>
      <c r="G209" s="26">
        <v>59855</v>
      </c>
      <c r="J209" s="25" t="s">
        <v>441</v>
      </c>
      <c r="K209" s="28">
        <v>0.09</v>
      </c>
      <c r="L209" s="24" t="s">
        <v>1094</v>
      </c>
      <c r="M209" s="25" t="s">
        <v>95</v>
      </c>
      <c r="N209" s="24" t="s">
        <v>62</v>
      </c>
      <c r="O209" s="29">
        <v>18</v>
      </c>
      <c r="P209" s="24">
        <v>18</v>
      </c>
      <c r="Q209" s="30">
        <v>2100000</v>
      </c>
      <c r="R209" s="30"/>
      <c r="S209" s="30"/>
      <c r="T209" s="30"/>
      <c r="W209" s="34">
        <v>37235</v>
      </c>
      <c r="Y209" s="34">
        <f t="shared" si="30"/>
        <v>37235</v>
      </c>
      <c r="Z209" s="35">
        <f t="shared" si="31"/>
        <v>42348</v>
      </c>
      <c r="AA209" s="36">
        <v>15</v>
      </c>
      <c r="AB209" s="35">
        <f t="shared" si="34"/>
        <v>47827</v>
      </c>
      <c r="AC209" s="25" t="s">
        <v>1165</v>
      </c>
      <c r="AD209" s="25" t="s">
        <v>1135</v>
      </c>
      <c r="AE209" s="25" t="s">
        <v>1136</v>
      </c>
      <c r="AF209" s="25" t="s">
        <v>1137</v>
      </c>
      <c r="AG209" s="25" t="s">
        <v>216</v>
      </c>
      <c r="AH209" s="25">
        <v>83616</v>
      </c>
      <c r="AI209" s="37"/>
      <c r="AJ209" s="25" t="s">
        <v>1138</v>
      </c>
      <c r="AL209" s="24">
        <v>18</v>
      </c>
      <c r="AP209" s="25">
        <v>18</v>
      </c>
      <c r="BJ209" s="40">
        <v>2159832</v>
      </c>
      <c r="BK209" s="40">
        <f>VLOOKUP(M209,[1]EconBenMult!$B$12:$D$14,2,TRUE)*(BJ209/1000000)</f>
        <v>25.982778960000001</v>
      </c>
      <c r="BL209" s="31">
        <f>VLOOKUP(M209,[1]EconBenMult!$B$12:$D$14,3,TRUE)*(BJ209/1000000)</f>
        <v>1510216.8455532</v>
      </c>
    </row>
    <row r="210" spans="1:68" ht="15" customHeight="1" x14ac:dyDescent="0.2">
      <c r="A210" s="34">
        <v>37244</v>
      </c>
      <c r="B210" s="24">
        <v>2001</v>
      </c>
      <c r="C210" s="24" t="s">
        <v>181</v>
      </c>
      <c r="D210" s="25" t="s">
        <v>1166</v>
      </c>
      <c r="E210" s="25" t="s">
        <v>1167</v>
      </c>
      <c r="F210" s="25" t="s">
        <v>108</v>
      </c>
      <c r="G210" s="26">
        <v>59801</v>
      </c>
      <c r="H210" s="27">
        <v>46.877929999999999</v>
      </c>
      <c r="I210" s="27">
        <v>-111.99457</v>
      </c>
      <c r="J210" s="25" t="s">
        <v>108</v>
      </c>
      <c r="K210" s="28">
        <v>0.09</v>
      </c>
      <c r="L210" s="24" t="s">
        <v>812</v>
      </c>
      <c r="M210" s="25" t="s">
        <v>95</v>
      </c>
      <c r="N210" s="24" t="s">
        <v>62</v>
      </c>
      <c r="O210" s="29">
        <v>18</v>
      </c>
      <c r="P210" s="24">
        <v>3</v>
      </c>
      <c r="Q210" s="30">
        <v>2184900</v>
      </c>
      <c r="R210" s="30"/>
      <c r="S210" s="30"/>
      <c r="T210" s="30"/>
      <c r="W210" s="34">
        <v>37670</v>
      </c>
      <c r="Y210" s="34">
        <f t="shared" si="30"/>
        <v>37670</v>
      </c>
      <c r="Z210" s="35">
        <f t="shared" si="31"/>
        <v>42784</v>
      </c>
      <c r="AA210" s="36">
        <v>35</v>
      </c>
      <c r="AB210" s="35">
        <f t="shared" si="34"/>
        <v>55567</v>
      </c>
      <c r="AC210" s="25" t="s">
        <v>1168</v>
      </c>
      <c r="AD210" s="25" t="s">
        <v>818</v>
      </c>
      <c r="AE210" s="25" t="s">
        <v>924</v>
      </c>
      <c r="AF210" s="25" t="s">
        <v>745</v>
      </c>
      <c r="AG210" s="25" t="s">
        <v>67</v>
      </c>
      <c r="AH210" s="25">
        <v>59802</v>
      </c>
      <c r="AI210" s="37"/>
      <c r="AJ210" s="25" t="s">
        <v>1169</v>
      </c>
      <c r="AL210" s="24">
        <v>18</v>
      </c>
      <c r="AN210" s="25">
        <v>1</v>
      </c>
      <c r="AP210" s="25">
        <v>14</v>
      </c>
      <c r="AQ210" s="25">
        <v>3</v>
      </c>
      <c r="BJ210" s="40">
        <v>2217475</v>
      </c>
      <c r="BK210" s="40">
        <f>VLOOKUP(M210,[1]EconBenMult!$B$12:$D$14,2,TRUE)*(BJ210/1000000)</f>
        <v>26.676224249999997</v>
      </c>
      <c r="BL210" s="31">
        <f>VLOOKUP(M210,[1]EconBenMult!$B$12:$D$14,3,TRUE)*(BJ210/1000000)</f>
        <v>1550522.4941537499</v>
      </c>
    </row>
    <row r="211" spans="1:68" ht="15" customHeight="1" x14ac:dyDescent="0.2">
      <c r="A211" s="34">
        <v>37244</v>
      </c>
      <c r="B211" s="24">
        <v>2001</v>
      </c>
      <c r="C211" s="24" t="s">
        <v>181</v>
      </c>
      <c r="D211" s="25" t="s">
        <v>1170</v>
      </c>
      <c r="E211" s="25" t="s">
        <v>1171</v>
      </c>
      <c r="F211" s="25" t="s">
        <v>210</v>
      </c>
      <c r="G211" s="26">
        <v>59701</v>
      </c>
      <c r="J211" s="25" t="s">
        <v>211</v>
      </c>
      <c r="K211" s="28">
        <v>0.09</v>
      </c>
      <c r="L211" s="24" t="s">
        <v>1117</v>
      </c>
      <c r="M211" s="25" t="s">
        <v>95</v>
      </c>
      <c r="N211" s="24" t="s">
        <v>62</v>
      </c>
      <c r="O211" s="29">
        <v>32</v>
      </c>
      <c r="P211" s="24">
        <v>4</v>
      </c>
      <c r="Q211" s="30">
        <v>1939290</v>
      </c>
      <c r="R211" s="30"/>
      <c r="S211" s="30"/>
      <c r="T211" s="30"/>
      <c r="W211" s="34">
        <v>37438</v>
      </c>
      <c r="Y211" s="34">
        <f t="shared" si="30"/>
        <v>37438</v>
      </c>
      <c r="Z211" s="35">
        <f t="shared" si="31"/>
        <v>42552</v>
      </c>
      <c r="AA211" s="36">
        <v>25</v>
      </c>
      <c r="AB211" s="35">
        <f t="shared" si="34"/>
        <v>51683</v>
      </c>
      <c r="AC211" s="25" t="s">
        <v>1172</v>
      </c>
      <c r="AD211" s="25" t="s">
        <v>1173</v>
      </c>
      <c r="AE211" s="25" t="s">
        <v>1174</v>
      </c>
      <c r="AF211" s="25" t="s">
        <v>1175</v>
      </c>
      <c r="AG211" s="25" t="s">
        <v>89</v>
      </c>
      <c r="AH211" s="25">
        <v>92660</v>
      </c>
      <c r="AI211" s="37"/>
      <c r="AJ211" s="25" t="s">
        <v>1176</v>
      </c>
      <c r="AL211" s="24">
        <v>32</v>
      </c>
      <c r="AP211" s="25">
        <v>20</v>
      </c>
      <c r="AQ211" s="25">
        <v>12</v>
      </c>
      <c r="BJ211" s="40">
        <v>2549318</v>
      </c>
      <c r="BK211" s="40">
        <f>VLOOKUP(M211,[1]EconBenMult!$B$12:$D$14,2,TRUE)*(BJ211/1000000)</f>
        <v>30.668295539999999</v>
      </c>
      <c r="BL211" s="31">
        <f>VLOOKUP(M211,[1]EconBenMult!$B$12:$D$14,3,TRUE)*(BJ211/1000000)</f>
        <v>1782556.6934242998</v>
      </c>
    </row>
    <row r="212" spans="1:68" ht="15" customHeight="1" x14ac:dyDescent="0.2">
      <c r="A212" s="34">
        <v>37244</v>
      </c>
      <c r="B212" s="24">
        <v>2001</v>
      </c>
      <c r="C212" s="24" t="s">
        <v>181</v>
      </c>
      <c r="D212" s="25" t="s">
        <v>1177</v>
      </c>
      <c r="E212" s="25" t="s">
        <v>1178</v>
      </c>
      <c r="F212" s="25" t="s">
        <v>415</v>
      </c>
      <c r="G212" s="26">
        <v>59937</v>
      </c>
      <c r="J212" s="25" t="s">
        <v>59</v>
      </c>
      <c r="K212" s="28">
        <v>0.09</v>
      </c>
      <c r="L212" s="24" t="s">
        <v>1117</v>
      </c>
      <c r="M212" s="25" t="s">
        <v>95</v>
      </c>
      <c r="N212" s="24" t="s">
        <v>62</v>
      </c>
      <c r="O212" s="29">
        <v>15</v>
      </c>
      <c r="P212" s="24">
        <v>2</v>
      </c>
      <c r="Q212" s="30">
        <v>820310</v>
      </c>
      <c r="R212" s="30"/>
      <c r="S212" s="30"/>
      <c r="T212" s="30"/>
      <c r="W212" s="34">
        <v>37295</v>
      </c>
      <c r="Y212" s="34">
        <f t="shared" si="30"/>
        <v>37295</v>
      </c>
      <c r="Z212" s="35">
        <f t="shared" si="31"/>
        <v>42408</v>
      </c>
      <c r="AA212" s="36">
        <v>16</v>
      </c>
      <c r="AB212" s="35">
        <f t="shared" si="34"/>
        <v>48252</v>
      </c>
      <c r="AC212" s="25" t="s">
        <v>1179</v>
      </c>
      <c r="AD212" s="25" t="s">
        <v>1126</v>
      </c>
      <c r="AE212" s="25" t="s">
        <v>1108</v>
      </c>
      <c r="AF212" s="25" t="s">
        <v>1180</v>
      </c>
      <c r="AG212" s="25" t="s">
        <v>216</v>
      </c>
      <c r="AH212" s="25">
        <v>83835</v>
      </c>
      <c r="AI212" s="37"/>
      <c r="AJ212" s="25" t="s">
        <v>1110</v>
      </c>
      <c r="AL212" s="24">
        <v>14</v>
      </c>
      <c r="AO212" s="25">
        <v>3</v>
      </c>
      <c r="AP212" s="25">
        <v>9</v>
      </c>
      <c r="AQ212" s="25">
        <v>2</v>
      </c>
      <c r="BJ212" s="40">
        <v>1114497</v>
      </c>
      <c r="BK212" s="40">
        <f>VLOOKUP(M212,[1]EconBenMult!$B$12:$D$14,2,TRUE)*(BJ212/1000000)</f>
        <v>13.40739891</v>
      </c>
      <c r="BL212" s="31">
        <f>VLOOKUP(M212,[1]EconBenMult!$B$12:$D$14,3,TRUE)*(BJ212/1000000)</f>
        <v>779288.45563844999</v>
      </c>
    </row>
    <row r="213" spans="1:68" s="87" customFormat="1" ht="15" customHeight="1" x14ac:dyDescent="0.2">
      <c r="A213" s="89" t="s">
        <v>1181</v>
      </c>
      <c r="B213" s="86">
        <v>2001</v>
      </c>
      <c r="C213" s="86" t="s">
        <v>1182</v>
      </c>
      <c r="D213" s="87" t="s">
        <v>1183</v>
      </c>
      <c r="E213" s="87" t="s">
        <v>1184</v>
      </c>
      <c r="F213" s="87" t="s">
        <v>350</v>
      </c>
      <c r="G213" s="90">
        <v>59828</v>
      </c>
      <c r="H213" s="91"/>
      <c r="I213" s="91"/>
      <c r="J213" s="87" t="s">
        <v>73</v>
      </c>
      <c r="K213" s="93">
        <v>0.09</v>
      </c>
      <c r="L213" s="86" t="s">
        <v>812</v>
      </c>
      <c r="M213" s="87" t="s">
        <v>95</v>
      </c>
      <c r="N213" s="86" t="s">
        <v>62</v>
      </c>
      <c r="O213" s="94">
        <v>24</v>
      </c>
      <c r="P213" s="86">
        <v>4</v>
      </c>
      <c r="Q213" s="95">
        <v>2169690</v>
      </c>
      <c r="R213" s="95"/>
      <c r="S213" s="95"/>
      <c r="T213" s="95"/>
      <c r="U213" s="96"/>
      <c r="V213" s="97"/>
      <c r="W213" s="89">
        <v>37469</v>
      </c>
      <c r="X213" s="89"/>
      <c r="Y213" s="34">
        <f t="shared" si="30"/>
        <v>37469</v>
      </c>
      <c r="Z213" s="35">
        <f t="shared" si="31"/>
        <v>42583</v>
      </c>
      <c r="AA213" s="99">
        <v>15</v>
      </c>
      <c r="AB213" s="136">
        <f t="shared" si="34"/>
        <v>48061</v>
      </c>
      <c r="AC213" s="87" t="s">
        <v>1185</v>
      </c>
      <c r="AD213" s="87" t="s">
        <v>1135</v>
      </c>
      <c r="AE213" s="87" t="s">
        <v>1160</v>
      </c>
      <c r="AF213" s="87" t="s">
        <v>1137</v>
      </c>
      <c r="AG213" s="87" t="s">
        <v>216</v>
      </c>
      <c r="AH213" s="87">
        <v>83616</v>
      </c>
      <c r="AI213" s="37"/>
      <c r="AJ213" s="87" t="s">
        <v>1186</v>
      </c>
      <c r="AK213" s="100"/>
      <c r="AL213" s="86">
        <v>24</v>
      </c>
      <c r="AP213" s="87">
        <v>11</v>
      </c>
      <c r="AQ213" s="87">
        <v>12</v>
      </c>
      <c r="AV213" s="87">
        <v>1</v>
      </c>
      <c r="AW213" s="86"/>
      <c r="AX213" s="86"/>
      <c r="AY213" s="86"/>
      <c r="AZ213" s="86"/>
      <c r="BA213" s="86"/>
      <c r="BB213" s="86"/>
      <c r="BC213" s="86"/>
      <c r="BD213" s="86"/>
      <c r="BE213" s="86"/>
      <c r="BJ213" s="40">
        <v>2170405</v>
      </c>
      <c r="BK213" s="40">
        <f>VLOOKUP(M213,[1]EconBenMult!$B$12:$D$14,2,TRUE)*(BJ213/1000000)</f>
        <v>26.109972150000001</v>
      </c>
      <c r="BL213" s="31">
        <f>VLOOKUP(M213,[1]EconBenMult!$B$12:$D$14,3,TRUE)*(BJ213/1000000)</f>
        <v>1517609.79218425</v>
      </c>
      <c r="BM213" s="40"/>
      <c r="BN213" s="40"/>
      <c r="BO213" s="40"/>
      <c r="BP213" s="40"/>
    </row>
    <row r="214" spans="1:68" s="87" customFormat="1" ht="15" customHeight="1" x14ac:dyDescent="0.2">
      <c r="A214" s="89">
        <v>37244</v>
      </c>
      <c r="B214" s="86">
        <v>2001</v>
      </c>
      <c r="C214" s="86" t="s">
        <v>1088</v>
      </c>
      <c r="D214" s="87" t="s">
        <v>1187</v>
      </c>
      <c r="E214" s="87" t="s">
        <v>280</v>
      </c>
      <c r="F214" s="87" t="s">
        <v>93</v>
      </c>
      <c r="G214" s="90">
        <v>59715</v>
      </c>
      <c r="H214" s="91"/>
      <c r="I214" s="91"/>
      <c r="J214" s="87" t="s">
        <v>94</v>
      </c>
      <c r="K214" s="93">
        <v>0.09</v>
      </c>
      <c r="L214" s="86" t="s">
        <v>1117</v>
      </c>
      <c r="M214" s="87" t="s">
        <v>95</v>
      </c>
      <c r="N214" s="86" t="s">
        <v>62</v>
      </c>
      <c r="O214" s="94">
        <v>36</v>
      </c>
      <c r="P214" s="86">
        <v>6</v>
      </c>
      <c r="Q214" s="95">
        <v>3084380</v>
      </c>
      <c r="R214" s="95"/>
      <c r="S214" s="95"/>
      <c r="T214" s="95"/>
      <c r="U214" s="96"/>
      <c r="V214" s="97"/>
      <c r="W214" s="89">
        <v>37974</v>
      </c>
      <c r="X214" s="89"/>
      <c r="Y214" s="34">
        <f t="shared" si="30"/>
        <v>37974</v>
      </c>
      <c r="Z214" s="35">
        <f t="shared" si="31"/>
        <v>43088</v>
      </c>
      <c r="AA214" s="99">
        <v>15</v>
      </c>
      <c r="AB214" s="136">
        <f t="shared" si="34"/>
        <v>48567</v>
      </c>
      <c r="AC214" s="87" t="s">
        <v>1188</v>
      </c>
      <c r="AD214" s="87" t="s">
        <v>1173</v>
      </c>
      <c r="AE214" s="87" t="s">
        <v>1174</v>
      </c>
      <c r="AF214" s="87" t="s">
        <v>1175</v>
      </c>
      <c r="AG214" s="87" t="s">
        <v>89</v>
      </c>
      <c r="AH214" s="87">
        <v>92660</v>
      </c>
      <c r="AI214" s="37"/>
      <c r="AJ214" s="87" t="s">
        <v>1189</v>
      </c>
      <c r="AK214" s="100"/>
      <c r="AL214" s="86">
        <v>36</v>
      </c>
      <c r="AP214" s="87">
        <v>28</v>
      </c>
      <c r="AQ214" s="87">
        <v>8</v>
      </c>
      <c r="AW214" s="86"/>
      <c r="AX214" s="86"/>
      <c r="AY214" s="86"/>
      <c r="AZ214" s="86"/>
      <c r="BA214" s="86"/>
      <c r="BB214" s="86"/>
      <c r="BC214" s="86"/>
      <c r="BD214" s="86"/>
      <c r="BE214" s="86"/>
      <c r="BJ214" s="40">
        <v>3466360</v>
      </c>
      <c r="BK214" s="40">
        <f>VLOOKUP(M214,[1]EconBenMult!$B$12:$D$14,2,TRUE)*(BJ214/1000000)</f>
        <v>41.700310799999997</v>
      </c>
      <c r="BL214" s="31">
        <f>VLOOKUP(M214,[1]EconBenMult!$B$12:$D$14,3,TRUE)*(BJ214/1000000)</f>
        <v>2423778.9164859997</v>
      </c>
      <c r="BM214" s="40"/>
      <c r="BN214" s="40"/>
      <c r="BO214" s="40"/>
      <c r="BP214" s="40"/>
    </row>
    <row r="215" spans="1:68" s="87" customFormat="1" ht="15" customHeight="1" x14ac:dyDescent="0.2">
      <c r="A215" s="89">
        <v>37244</v>
      </c>
      <c r="B215" s="86">
        <v>2001</v>
      </c>
      <c r="C215" s="86" t="s">
        <v>1088</v>
      </c>
      <c r="D215" s="87" t="s">
        <v>1190</v>
      </c>
      <c r="E215" s="87" t="s">
        <v>1191</v>
      </c>
      <c r="F215" s="87" t="s">
        <v>1192</v>
      </c>
      <c r="G215" s="90">
        <v>59047</v>
      </c>
      <c r="H215" s="91"/>
      <c r="I215" s="91"/>
      <c r="J215" s="87" t="s">
        <v>317</v>
      </c>
      <c r="K215" s="93">
        <v>0.09</v>
      </c>
      <c r="L215" s="86" t="s">
        <v>812</v>
      </c>
      <c r="M215" s="87" t="s">
        <v>61</v>
      </c>
      <c r="N215" s="86" t="s">
        <v>62</v>
      </c>
      <c r="O215" s="94">
        <v>40</v>
      </c>
      <c r="P215" s="86">
        <v>1</v>
      </c>
      <c r="Q215" s="95">
        <v>1855440</v>
      </c>
      <c r="R215" s="95"/>
      <c r="S215" s="95"/>
      <c r="T215" s="95"/>
      <c r="U215" s="96"/>
      <c r="V215" s="97"/>
      <c r="W215" s="89">
        <v>37607</v>
      </c>
      <c r="X215" s="89"/>
      <c r="Y215" s="34">
        <f t="shared" si="30"/>
        <v>37607</v>
      </c>
      <c r="Z215" s="35">
        <f t="shared" si="31"/>
        <v>42721</v>
      </c>
      <c r="AA215" s="99">
        <v>15</v>
      </c>
      <c r="AB215" s="136">
        <f t="shared" si="34"/>
        <v>48199</v>
      </c>
      <c r="AC215" s="87" t="s">
        <v>1193</v>
      </c>
      <c r="AD215" s="87" t="s">
        <v>1194</v>
      </c>
      <c r="AE215" s="87" t="s">
        <v>1195</v>
      </c>
      <c r="AF215" s="87" t="s">
        <v>986</v>
      </c>
      <c r="AG215" s="87" t="s">
        <v>67</v>
      </c>
      <c r="AH215" s="87" t="s">
        <v>1196</v>
      </c>
      <c r="AI215" s="37"/>
      <c r="AJ215" s="87" t="s">
        <v>1197</v>
      </c>
      <c r="AK215" s="100"/>
      <c r="AL215" s="86">
        <v>40</v>
      </c>
      <c r="AN215" s="87">
        <v>5</v>
      </c>
      <c r="AO215" s="87">
        <v>34</v>
      </c>
      <c r="AV215" s="87">
        <v>1</v>
      </c>
      <c r="AW215" s="86"/>
      <c r="AX215" s="86"/>
      <c r="AY215" s="86"/>
      <c r="AZ215" s="86"/>
      <c r="BA215" s="86"/>
      <c r="BB215" s="86"/>
      <c r="BC215" s="86"/>
      <c r="BD215" s="86"/>
      <c r="BE215" s="86"/>
      <c r="BJ215" s="40">
        <v>2063990</v>
      </c>
      <c r="BK215" s="40">
        <f>VLOOKUP(M215,[1]EconBenMult!$B$12:$D$14,2,TRUE)*(BJ215/1000000)</f>
        <v>16.016562399999998</v>
      </c>
      <c r="BL215" s="31">
        <f>VLOOKUP(M215,[1]EconBenMult!$B$12:$D$14,3,TRUE)*(BJ215/1000000)</f>
        <v>883858.39227959991</v>
      </c>
      <c r="BM215" s="40"/>
      <c r="BN215" s="40"/>
      <c r="BO215" s="40"/>
      <c r="BP215" s="40"/>
    </row>
    <row r="216" spans="1:68" ht="15" customHeight="1" x14ac:dyDescent="0.2">
      <c r="A216" s="34">
        <v>37244</v>
      </c>
      <c r="B216" s="24">
        <v>2001</v>
      </c>
      <c r="C216" s="24" t="s">
        <v>181</v>
      </c>
      <c r="D216" s="25" t="s">
        <v>1198</v>
      </c>
      <c r="E216" s="25" t="s">
        <v>1199</v>
      </c>
      <c r="F216" s="25" t="s">
        <v>66</v>
      </c>
      <c r="G216" s="26">
        <v>59901</v>
      </c>
      <c r="J216" s="25" t="s">
        <v>59</v>
      </c>
      <c r="K216" s="28">
        <v>0.09</v>
      </c>
      <c r="L216" s="24" t="s">
        <v>812</v>
      </c>
      <c r="M216" s="25" t="s">
        <v>95</v>
      </c>
      <c r="N216" s="24" t="s">
        <v>62</v>
      </c>
      <c r="O216" s="29">
        <v>40</v>
      </c>
      <c r="P216" s="24">
        <v>1</v>
      </c>
      <c r="Q216" s="30">
        <v>0</v>
      </c>
      <c r="R216" s="30"/>
      <c r="S216" s="30"/>
      <c r="T216" s="30"/>
      <c r="W216" s="34">
        <v>37789</v>
      </c>
      <c r="Y216" s="34">
        <f t="shared" si="30"/>
        <v>37789</v>
      </c>
      <c r="Z216" s="35">
        <f t="shared" si="31"/>
        <v>42903</v>
      </c>
      <c r="AA216" s="36">
        <v>16</v>
      </c>
      <c r="AB216" s="35">
        <f t="shared" si="34"/>
        <v>48747</v>
      </c>
      <c r="AC216" s="25" t="s">
        <v>1200</v>
      </c>
      <c r="AD216" s="25" t="s">
        <v>858</v>
      </c>
      <c r="AE216" s="25" t="s">
        <v>859</v>
      </c>
      <c r="AF216" s="25" t="s">
        <v>860</v>
      </c>
      <c r="AG216" s="25" t="s">
        <v>89</v>
      </c>
      <c r="AH216" s="25">
        <v>92110</v>
      </c>
      <c r="AI216" s="37"/>
      <c r="AJ216" s="25" t="s">
        <v>1201</v>
      </c>
      <c r="AL216" s="24">
        <v>40</v>
      </c>
      <c r="AO216" s="25">
        <v>30</v>
      </c>
      <c r="AP216" s="25">
        <v>10</v>
      </c>
      <c r="BJ216" s="40">
        <v>3732626</v>
      </c>
      <c r="BK216" s="40">
        <f>VLOOKUP(M216,[1]EconBenMult!$B$12:$D$14,2,TRUE)*(BJ216/1000000)</f>
        <v>44.903490779999998</v>
      </c>
      <c r="BL216" s="31">
        <f>VLOOKUP(M216,[1]EconBenMult!$B$12:$D$14,3,TRUE)*(BJ216/1000000)</f>
        <v>2609959.7854601</v>
      </c>
    </row>
    <row r="217" spans="1:68" ht="15" customHeight="1" x14ac:dyDescent="0.2">
      <c r="A217" s="34">
        <v>37244</v>
      </c>
      <c r="B217" s="24">
        <v>2001</v>
      </c>
      <c r="C217" s="24" t="s">
        <v>181</v>
      </c>
      <c r="D217" s="25" t="s">
        <v>1202</v>
      </c>
      <c r="E217" s="25" t="s">
        <v>1203</v>
      </c>
      <c r="F217" s="25" t="s">
        <v>517</v>
      </c>
      <c r="G217" s="26">
        <v>59417</v>
      </c>
      <c r="J217" s="25" t="s">
        <v>518</v>
      </c>
      <c r="K217" s="28">
        <v>0.09</v>
      </c>
      <c r="L217" s="24" t="s">
        <v>188</v>
      </c>
      <c r="M217" s="25" t="s">
        <v>95</v>
      </c>
      <c r="N217" s="24" t="s">
        <v>62</v>
      </c>
      <c r="O217" s="29">
        <v>20</v>
      </c>
      <c r="P217" s="24">
        <v>20</v>
      </c>
      <c r="Q217" s="30">
        <v>2750000</v>
      </c>
      <c r="R217" s="30"/>
      <c r="S217" s="30"/>
      <c r="T217" s="30"/>
      <c r="W217" s="34">
        <v>37560</v>
      </c>
      <c r="Y217" s="34">
        <f t="shared" si="30"/>
        <v>37560</v>
      </c>
      <c r="Z217" s="35">
        <f t="shared" si="31"/>
        <v>42674</v>
      </c>
      <c r="AA217" s="36">
        <v>31</v>
      </c>
      <c r="AB217" s="35">
        <f t="shared" si="34"/>
        <v>53996</v>
      </c>
      <c r="AC217" s="25" t="s">
        <v>1204</v>
      </c>
      <c r="AD217" s="25" t="s">
        <v>952</v>
      </c>
      <c r="AE217" s="25" t="s">
        <v>953</v>
      </c>
      <c r="AF217" s="25" t="s">
        <v>1012</v>
      </c>
      <c r="AG217" s="25" t="s">
        <v>67</v>
      </c>
      <c r="AH217" s="25">
        <v>59417</v>
      </c>
      <c r="AI217" s="37"/>
      <c r="AJ217" s="25" t="s">
        <v>955</v>
      </c>
      <c r="AL217" s="24">
        <v>20</v>
      </c>
      <c r="AP217" s="25">
        <v>16</v>
      </c>
      <c r="AQ217" s="25">
        <v>4</v>
      </c>
      <c r="BJ217" s="40">
        <v>2531627</v>
      </c>
      <c r="BK217" s="40">
        <f>VLOOKUP(M217,[1]EconBenMult!$B$12:$D$14,2,TRUE)*(BJ217/1000000)</f>
        <v>30.455472809999996</v>
      </c>
      <c r="BL217" s="31">
        <f>VLOOKUP(M217,[1]EconBenMult!$B$12:$D$14,3,TRUE)*(BJ217/1000000)</f>
        <v>1770186.6358389498</v>
      </c>
    </row>
    <row r="218" spans="1:68" ht="15" customHeight="1" x14ac:dyDescent="0.2">
      <c r="A218" s="34">
        <v>37244</v>
      </c>
      <c r="B218" s="24">
        <v>2001</v>
      </c>
      <c r="C218" s="24" t="s">
        <v>181</v>
      </c>
      <c r="D218" s="25" t="s">
        <v>1205</v>
      </c>
      <c r="E218" s="25" t="s">
        <v>1206</v>
      </c>
      <c r="F218" s="25" t="s">
        <v>440</v>
      </c>
      <c r="G218" s="26">
        <v>59864</v>
      </c>
      <c r="J218" s="25" t="s">
        <v>441</v>
      </c>
      <c r="K218" s="28">
        <v>0.09</v>
      </c>
      <c r="L218" s="24" t="s">
        <v>1094</v>
      </c>
      <c r="M218" s="25" t="s">
        <v>95</v>
      </c>
      <c r="N218" s="24" t="s">
        <v>62</v>
      </c>
      <c r="O218" s="29">
        <v>6</v>
      </c>
      <c r="P218" s="24">
        <v>1</v>
      </c>
      <c r="Q218" s="30">
        <v>685700</v>
      </c>
      <c r="R218" s="30"/>
      <c r="S218" s="30"/>
      <c r="T218" s="30"/>
      <c r="W218" s="34">
        <v>37347</v>
      </c>
      <c r="Y218" s="34">
        <f t="shared" si="30"/>
        <v>37347</v>
      </c>
      <c r="Z218" s="35">
        <f t="shared" si="31"/>
        <v>42461</v>
      </c>
      <c r="AA218" s="36">
        <v>31</v>
      </c>
      <c r="AB218" s="35">
        <f t="shared" si="34"/>
        <v>53783</v>
      </c>
      <c r="AC218" s="25" t="s">
        <v>1207</v>
      </c>
      <c r="AD218" s="25" t="s">
        <v>1208</v>
      </c>
      <c r="AE218" s="25" t="s">
        <v>1209</v>
      </c>
      <c r="AF218" s="25" t="s">
        <v>1210</v>
      </c>
      <c r="AG218" s="25" t="s">
        <v>67</v>
      </c>
      <c r="AH218" s="25">
        <v>59864</v>
      </c>
      <c r="AI218" s="37"/>
      <c r="AJ218" s="25" t="s">
        <v>1211</v>
      </c>
      <c r="AL218" s="24">
        <v>6</v>
      </c>
      <c r="AQ218" s="25">
        <v>6</v>
      </c>
      <c r="BJ218" s="40">
        <v>674886</v>
      </c>
      <c r="BK218" s="40">
        <f>VLOOKUP(M218,[1]EconBenMult!$B$12:$D$14,2,TRUE)*(BJ218/1000000)</f>
        <v>8.1188785799999987</v>
      </c>
      <c r="BL218" s="31">
        <f>VLOOKUP(M218,[1]EconBenMult!$B$12:$D$14,3,TRUE)*(BJ218/1000000)</f>
        <v>471899.76166109997</v>
      </c>
    </row>
    <row r="219" spans="1:68" s="87" customFormat="1" ht="15" customHeight="1" x14ac:dyDescent="0.2">
      <c r="A219" s="34">
        <v>36875</v>
      </c>
      <c r="B219" s="24">
        <v>2000</v>
      </c>
      <c r="C219" s="24" t="s">
        <v>181</v>
      </c>
      <c r="D219" s="25" t="s">
        <v>1212</v>
      </c>
      <c r="E219" s="25" t="s">
        <v>1213</v>
      </c>
      <c r="F219" s="25" t="s">
        <v>415</v>
      </c>
      <c r="G219" s="26">
        <v>59937</v>
      </c>
      <c r="H219" s="27"/>
      <c r="I219" s="27"/>
      <c r="J219" s="25" t="s">
        <v>59</v>
      </c>
      <c r="K219" s="28">
        <v>0.09</v>
      </c>
      <c r="L219" s="24" t="s">
        <v>147</v>
      </c>
      <c r="M219" s="25" t="s">
        <v>95</v>
      </c>
      <c r="N219" s="24" t="s">
        <v>62</v>
      </c>
      <c r="O219" s="29">
        <v>15</v>
      </c>
      <c r="P219" s="24">
        <v>2</v>
      </c>
      <c r="Q219" s="30">
        <v>821480</v>
      </c>
      <c r="R219" s="30"/>
      <c r="S219" s="30"/>
      <c r="T219" s="30"/>
      <c r="U219" s="32"/>
      <c r="V219" s="33"/>
      <c r="W219" s="34">
        <v>37195</v>
      </c>
      <c r="X219" s="34"/>
      <c r="Y219" s="34">
        <f t="shared" si="30"/>
        <v>37195</v>
      </c>
      <c r="Z219" s="35">
        <f t="shared" si="31"/>
        <v>42308</v>
      </c>
      <c r="AA219" s="36">
        <v>16</v>
      </c>
      <c r="AB219" s="35">
        <f t="shared" si="34"/>
        <v>48152</v>
      </c>
      <c r="AC219" s="25" t="s">
        <v>1214</v>
      </c>
      <c r="AD219" s="25" t="s">
        <v>1126</v>
      </c>
      <c r="AE219" s="25" t="s">
        <v>1108</v>
      </c>
      <c r="AF219" s="25" t="s">
        <v>1180</v>
      </c>
      <c r="AG219" s="25" t="s">
        <v>216</v>
      </c>
      <c r="AH219" s="25">
        <v>83835</v>
      </c>
      <c r="AI219" s="37"/>
      <c r="AJ219" s="25" t="s">
        <v>1215</v>
      </c>
      <c r="AK219" s="42"/>
      <c r="AL219" s="24">
        <v>15</v>
      </c>
      <c r="AM219" s="25"/>
      <c r="AN219" s="25"/>
      <c r="AO219" s="25">
        <v>3</v>
      </c>
      <c r="AP219" s="25">
        <v>9</v>
      </c>
      <c r="AQ219" s="25">
        <v>3</v>
      </c>
      <c r="AR219" s="25"/>
      <c r="AS219" s="25"/>
      <c r="AT219" s="25"/>
      <c r="AU219" s="25"/>
      <c r="AV219" s="25"/>
      <c r="AW219" s="86"/>
      <c r="AX219" s="86"/>
      <c r="AY219" s="86"/>
      <c r="AZ219" s="86"/>
      <c r="BA219" s="86"/>
      <c r="BB219" s="86"/>
      <c r="BC219" s="86"/>
      <c r="BD219" s="86"/>
      <c r="BE219" s="86"/>
      <c r="BJ219" s="40">
        <v>749515</v>
      </c>
      <c r="BK219" s="40">
        <f>VLOOKUP(M219,[1]EconBenMult!$B$12:$D$14,2,TRUE)*(BJ219/1000000)</f>
        <v>9.0166654499999996</v>
      </c>
      <c r="BL219" s="31">
        <f>VLOOKUP(M219,[1]EconBenMult!$B$12:$D$14,3,TRUE)*(BJ219/1000000)</f>
        <v>524082.51150775002</v>
      </c>
      <c r="BM219" s="40"/>
      <c r="BN219" s="40"/>
      <c r="BO219" s="40"/>
      <c r="BP219" s="40"/>
    </row>
    <row r="220" spans="1:68" ht="15" customHeight="1" x14ac:dyDescent="0.2">
      <c r="A220" s="34">
        <v>36875</v>
      </c>
      <c r="B220" s="24">
        <v>2000</v>
      </c>
      <c r="C220" s="24" t="s">
        <v>181</v>
      </c>
      <c r="D220" s="25" t="s">
        <v>1216</v>
      </c>
      <c r="E220" s="25" t="s">
        <v>1206</v>
      </c>
      <c r="F220" s="25" t="s">
        <v>440</v>
      </c>
      <c r="G220" s="26">
        <v>59864</v>
      </c>
      <c r="J220" s="25" t="s">
        <v>441</v>
      </c>
      <c r="K220" s="28">
        <v>0.09</v>
      </c>
      <c r="L220" s="24" t="s">
        <v>147</v>
      </c>
      <c r="M220" s="25" t="s">
        <v>95</v>
      </c>
      <c r="N220" s="24" t="s">
        <v>62</v>
      </c>
      <c r="O220" s="29">
        <v>8</v>
      </c>
      <c r="P220" s="24">
        <v>2</v>
      </c>
      <c r="Q220" s="30">
        <v>617680</v>
      </c>
      <c r="R220" s="30"/>
      <c r="S220" s="30"/>
      <c r="T220" s="30"/>
      <c r="W220" s="34">
        <v>36976</v>
      </c>
      <c r="Y220" s="34">
        <f t="shared" si="30"/>
        <v>36976</v>
      </c>
      <c r="Z220" s="35">
        <f t="shared" si="31"/>
        <v>42089</v>
      </c>
      <c r="AA220" s="36">
        <v>16</v>
      </c>
      <c r="AB220" s="35">
        <f t="shared" si="34"/>
        <v>47933</v>
      </c>
      <c r="AC220" s="25" t="s">
        <v>1218</v>
      </c>
      <c r="AD220" s="25" t="s">
        <v>1208</v>
      </c>
      <c r="AE220" s="25" t="s">
        <v>1209</v>
      </c>
      <c r="AF220" s="25" t="s">
        <v>1210</v>
      </c>
      <c r="AG220" s="25" t="s">
        <v>67</v>
      </c>
      <c r="AH220" s="25">
        <v>59864</v>
      </c>
      <c r="AI220" s="37"/>
      <c r="AJ220" s="25" t="s">
        <v>1219</v>
      </c>
      <c r="AL220" s="24">
        <v>8</v>
      </c>
      <c r="AQ220" s="25">
        <v>6</v>
      </c>
      <c r="AR220" s="25">
        <v>2</v>
      </c>
      <c r="BJ220" s="40">
        <v>517028</v>
      </c>
      <c r="BK220" s="40">
        <f>VLOOKUP(M220,[1]EconBenMult!$B$12:$D$14,2,TRUE)*(BJ220/1000000)</f>
        <v>6.2198468399999998</v>
      </c>
      <c r="BL220" s="31">
        <f>VLOOKUP(M220,[1]EconBenMult!$B$12:$D$14,3,TRUE)*(BJ220/1000000)</f>
        <v>361520.89385779999</v>
      </c>
    </row>
    <row r="221" spans="1:68" ht="15" customHeight="1" x14ac:dyDescent="0.2">
      <c r="A221" s="34">
        <v>36875</v>
      </c>
      <c r="B221" s="24">
        <v>2000</v>
      </c>
      <c r="C221" s="24" t="s">
        <v>181</v>
      </c>
      <c r="D221" s="25" t="s">
        <v>1220</v>
      </c>
      <c r="E221" s="25" t="s">
        <v>1221</v>
      </c>
      <c r="F221" s="25" t="s">
        <v>440</v>
      </c>
      <c r="G221" s="26">
        <v>59864</v>
      </c>
      <c r="J221" s="25" t="s">
        <v>441</v>
      </c>
      <c r="K221" s="28">
        <v>0.09</v>
      </c>
      <c r="L221" s="24" t="s">
        <v>239</v>
      </c>
      <c r="M221" s="25" t="s">
        <v>61</v>
      </c>
      <c r="N221" s="24" t="s">
        <v>62</v>
      </c>
      <c r="O221" s="29">
        <v>8</v>
      </c>
      <c r="P221" s="24">
        <v>1</v>
      </c>
      <c r="Q221" s="30">
        <v>319790</v>
      </c>
      <c r="R221" s="30"/>
      <c r="S221" s="30"/>
      <c r="T221" s="30"/>
      <c r="W221" s="34">
        <v>37087</v>
      </c>
      <c r="Y221" s="34">
        <f t="shared" ref="Y221:Y284" si="35">IF(W221&gt;X221,W221,X221)</f>
        <v>37087</v>
      </c>
      <c r="Z221" s="35">
        <f t="shared" ref="Z221:Z284" si="36">DATE(YEAR(Y221)+14,MONTH(Y221),DAY(Y221))</f>
        <v>42200</v>
      </c>
      <c r="AA221" s="36">
        <v>16</v>
      </c>
      <c r="AB221" s="35">
        <f t="shared" si="34"/>
        <v>48044</v>
      </c>
      <c r="AC221" s="25" t="s">
        <v>1222</v>
      </c>
      <c r="AD221" s="25" t="s">
        <v>1223</v>
      </c>
      <c r="AE221" s="25" t="s">
        <v>1224</v>
      </c>
      <c r="AF221" s="25" t="s">
        <v>1210</v>
      </c>
      <c r="AG221" s="25" t="s">
        <v>67</v>
      </c>
      <c r="AH221" s="25">
        <v>59864</v>
      </c>
      <c r="AI221" s="37"/>
      <c r="AJ221" s="25" t="s">
        <v>1225</v>
      </c>
      <c r="AL221" s="24">
        <v>8</v>
      </c>
      <c r="AO221" s="25">
        <v>7</v>
      </c>
      <c r="AP221" s="25">
        <v>1</v>
      </c>
      <c r="BJ221" s="40">
        <v>173999</v>
      </c>
      <c r="BK221" s="40">
        <f>VLOOKUP(M221,[1]EconBenMult!$B$12:$D$14,2,TRUE)*(BJ221/1000000)</f>
        <v>1.35023224</v>
      </c>
      <c r="BL221" s="31">
        <f>VLOOKUP(M221,[1]EconBenMult!$B$12:$D$14,3,TRUE)*(BJ221/1000000)</f>
        <v>74511.250731959997</v>
      </c>
    </row>
    <row r="222" spans="1:68" ht="15" customHeight="1" x14ac:dyDescent="0.2">
      <c r="A222" s="34">
        <v>36875</v>
      </c>
      <c r="B222" s="24">
        <v>2000</v>
      </c>
      <c r="C222" s="24" t="s">
        <v>181</v>
      </c>
      <c r="D222" s="25" t="s">
        <v>1226</v>
      </c>
      <c r="E222" s="25" t="s">
        <v>183</v>
      </c>
      <c r="F222" s="25" t="s">
        <v>93</v>
      </c>
      <c r="G222" s="26">
        <v>59715</v>
      </c>
      <c r="J222" s="25" t="s">
        <v>94</v>
      </c>
      <c r="K222" s="28">
        <v>0.09</v>
      </c>
      <c r="L222" s="24" t="s">
        <v>147</v>
      </c>
      <c r="M222" s="25" t="s">
        <v>95</v>
      </c>
      <c r="N222" s="24" t="s">
        <v>62</v>
      </c>
      <c r="O222" s="29">
        <v>28</v>
      </c>
      <c r="P222" s="24">
        <v>3</v>
      </c>
      <c r="Q222" s="30">
        <v>2045630</v>
      </c>
      <c r="R222" s="30"/>
      <c r="S222" s="30"/>
      <c r="T222" s="30"/>
      <c r="W222" s="34">
        <v>37029</v>
      </c>
      <c r="Y222" s="34">
        <f t="shared" si="35"/>
        <v>37029</v>
      </c>
      <c r="Z222" s="35">
        <f t="shared" si="36"/>
        <v>42142</v>
      </c>
      <c r="AA222" s="36">
        <v>25</v>
      </c>
      <c r="AB222" s="35">
        <f t="shared" si="34"/>
        <v>51274</v>
      </c>
      <c r="AC222" s="25" t="s">
        <v>1227</v>
      </c>
      <c r="AD222" s="25" t="s">
        <v>1051</v>
      </c>
      <c r="AE222" s="25" t="s">
        <v>1143</v>
      </c>
      <c r="AF222" s="25" t="s">
        <v>986</v>
      </c>
      <c r="AG222" s="25" t="s">
        <v>67</v>
      </c>
      <c r="AH222" s="25">
        <v>59718</v>
      </c>
      <c r="AI222" s="37"/>
      <c r="AJ222" s="25" t="s">
        <v>1228</v>
      </c>
      <c r="AL222" s="24">
        <v>28</v>
      </c>
      <c r="AO222" s="25">
        <v>28</v>
      </c>
      <c r="BJ222" s="40">
        <v>1300563</v>
      </c>
      <c r="BK222" s="40">
        <f>VLOOKUP(M222,[1]EconBenMult!$B$12:$D$14,2,TRUE)*(BJ222/1000000)</f>
        <v>15.645772889999998</v>
      </c>
      <c r="BL222" s="31">
        <f>VLOOKUP(M222,[1]EconBenMult!$B$12:$D$14,3,TRUE)*(BJ222/1000000)</f>
        <v>909391.17084254988</v>
      </c>
    </row>
    <row r="223" spans="1:68" ht="15" customHeight="1" x14ac:dyDescent="0.2">
      <c r="A223" s="34">
        <v>36875</v>
      </c>
      <c r="B223" s="24">
        <v>2000</v>
      </c>
      <c r="C223" s="24" t="s">
        <v>181</v>
      </c>
      <c r="D223" s="25" t="s">
        <v>1229</v>
      </c>
      <c r="E223" s="25" t="s">
        <v>1230</v>
      </c>
      <c r="F223" s="25" t="s">
        <v>103</v>
      </c>
      <c r="G223" s="26">
        <v>59601</v>
      </c>
      <c r="J223" s="44" t="s">
        <v>104</v>
      </c>
      <c r="K223" s="28">
        <v>0.09</v>
      </c>
      <c r="L223" s="24" t="s">
        <v>239</v>
      </c>
      <c r="M223" s="25" t="s">
        <v>95</v>
      </c>
      <c r="N223" s="24" t="s">
        <v>62</v>
      </c>
      <c r="O223" s="29">
        <v>22</v>
      </c>
      <c r="P223" s="24">
        <v>6</v>
      </c>
      <c r="Q223" s="30">
        <v>1359920</v>
      </c>
      <c r="R223" s="30"/>
      <c r="S223" s="30"/>
      <c r="T223" s="30"/>
      <c r="W223" s="34">
        <v>37011</v>
      </c>
      <c r="Y223" s="34">
        <f t="shared" si="35"/>
        <v>37011</v>
      </c>
      <c r="Z223" s="35">
        <f t="shared" si="36"/>
        <v>42124</v>
      </c>
      <c r="AA223" s="36">
        <v>16</v>
      </c>
      <c r="AB223" s="35">
        <f t="shared" si="34"/>
        <v>47968</v>
      </c>
      <c r="AC223" s="25" t="s">
        <v>1231</v>
      </c>
      <c r="AD223" s="25" t="s">
        <v>665</v>
      </c>
      <c r="AE223" s="25" t="s">
        <v>948</v>
      </c>
      <c r="AF223" s="25" t="s">
        <v>666</v>
      </c>
      <c r="AG223" s="25" t="s">
        <v>67</v>
      </c>
      <c r="AH223" s="25" t="s">
        <v>814</v>
      </c>
      <c r="AI223" s="37"/>
      <c r="AJ223" s="25" t="s">
        <v>1232</v>
      </c>
      <c r="AL223" s="24">
        <v>22</v>
      </c>
      <c r="AO223" s="25">
        <v>21</v>
      </c>
      <c r="AV223" s="25">
        <v>1</v>
      </c>
      <c r="BJ223" s="40">
        <v>1179530</v>
      </c>
      <c r="BK223" s="40">
        <f>VLOOKUP(M223,[1]EconBenMult!$B$12:$D$14,2,TRUE)*(BJ223/1000000)</f>
        <v>14.189745899999998</v>
      </c>
      <c r="BL223" s="31">
        <f>VLOOKUP(M223,[1]EconBenMult!$B$12:$D$14,3,TRUE)*(BJ223/1000000)</f>
        <v>824761.40544050001</v>
      </c>
    </row>
    <row r="224" spans="1:68" s="87" customFormat="1" ht="15" customHeight="1" x14ac:dyDescent="0.2">
      <c r="A224" s="34">
        <v>36875</v>
      </c>
      <c r="B224" s="24">
        <v>2000</v>
      </c>
      <c r="C224" s="24" t="s">
        <v>181</v>
      </c>
      <c r="D224" s="25" t="s">
        <v>1233</v>
      </c>
      <c r="E224" s="25" t="s">
        <v>1234</v>
      </c>
      <c r="F224" s="25" t="s">
        <v>113</v>
      </c>
      <c r="G224" s="26">
        <v>59101</v>
      </c>
      <c r="H224" s="27"/>
      <c r="I224" s="27"/>
      <c r="J224" s="25" t="s">
        <v>175</v>
      </c>
      <c r="K224" s="28">
        <v>0.09</v>
      </c>
      <c r="L224" s="24" t="s">
        <v>239</v>
      </c>
      <c r="M224" s="25" t="s">
        <v>95</v>
      </c>
      <c r="N224" s="24" t="s">
        <v>62</v>
      </c>
      <c r="O224" s="29">
        <v>10</v>
      </c>
      <c r="P224" s="24">
        <v>5</v>
      </c>
      <c r="Q224" s="30">
        <v>987600</v>
      </c>
      <c r="R224" s="30"/>
      <c r="S224" s="30"/>
      <c r="T224" s="30"/>
      <c r="U224" s="32"/>
      <c r="V224" s="33"/>
      <c r="W224" s="34">
        <v>37301</v>
      </c>
      <c r="X224" s="34"/>
      <c r="Y224" s="34">
        <f t="shared" si="35"/>
        <v>37301</v>
      </c>
      <c r="Z224" s="35">
        <f t="shared" si="36"/>
        <v>42414</v>
      </c>
      <c r="AA224" s="36">
        <v>25</v>
      </c>
      <c r="AB224" s="35">
        <f t="shared" si="34"/>
        <v>51546</v>
      </c>
      <c r="AC224" s="25" t="s">
        <v>1235</v>
      </c>
      <c r="AD224" s="25" t="s">
        <v>1236</v>
      </c>
      <c r="AE224" s="25" t="s">
        <v>1237</v>
      </c>
      <c r="AF224" s="25" t="s">
        <v>1238</v>
      </c>
      <c r="AG224" s="25" t="s">
        <v>67</v>
      </c>
      <c r="AH224" s="25">
        <v>59103</v>
      </c>
      <c r="AI224" s="37"/>
      <c r="AJ224" s="25" t="s">
        <v>1239</v>
      </c>
      <c r="AK224" s="42"/>
      <c r="AL224" s="24">
        <v>10</v>
      </c>
      <c r="AM224" s="25"/>
      <c r="AN224" s="25"/>
      <c r="AO224" s="25"/>
      <c r="AP224" s="25">
        <v>5</v>
      </c>
      <c r="AQ224" s="25">
        <v>1</v>
      </c>
      <c r="AR224" s="25">
        <v>4</v>
      </c>
      <c r="AS224" s="25"/>
      <c r="AT224" s="25"/>
      <c r="AU224" s="25"/>
      <c r="AV224" s="25"/>
      <c r="AW224" s="86"/>
      <c r="AX224" s="86"/>
      <c r="AY224" s="86"/>
      <c r="AZ224" s="86"/>
      <c r="BA224" s="86"/>
      <c r="BB224" s="86"/>
      <c r="BC224" s="86"/>
      <c r="BD224" s="86"/>
      <c r="BE224" s="86"/>
      <c r="BJ224" s="40">
        <v>626000</v>
      </c>
      <c r="BK224" s="40">
        <f>VLOOKUP(M224,[1]EconBenMult!$B$12:$D$14,2,TRUE)*(BJ224/1000000)</f>
        <v>7.53078</v>
      </c>
      <c r="BL224" s="31">
        <f>VLOOKUP(M224,[1]EconBenMult!$B$12:$D$14,3,TRUE)*(BJ224/1000000)</f>
        <v>437717.26010000001</v>
      </c>
      <c r="BM224" s="40"/>
      <c r="BN224" s="40"/>
      <c r="BO224" s="40"/>
      <c r="BP224" s="40"/>
    </row>
    <row r="225" spans="1:68" s="87" customFormat="1" ht="15" customHeight="1" x14ac:dyDescent="0.2">
      <c r="A225" s="34">
        <v>36875</v>
      </c>
      <c r="B225" s="24">
        <v>2000</v>
      </c>
      <c r="C225" s="24" t="s">
        <v>181</v>
      </c>
      <c r="D225" s="25" t="s">
        <v>1240</v>
      </c>
      <c r="E225" s="25" t="s">
        <v>1241</v>
      </c>
      <c r="F225" s="25" t="s">
        <v>108</v>
      </c>
      <c r="G225" s="26">
        <v>59801</v>
      </c>
      <c r="H225" s="27"/>
      <c r="I225" s="27"/>
      <c r="J225" s="25" t="s">
        <v>108</v>
      </c>
      <c r="K225" s="28">
        <v>0.09</v>
      </c>
      <c r="L225" s="24" t="s">
        <v>147</v>
      </c>
      <c r="M225" s="25" t="s">
        <v>95</v>
      </c>
      <c r="N225" s="24" t="s">
        <v>62</v>
      </c>
      <c r="O225" s="29">
        <v>53</v>
      </c>
      <c r="P225" s="24">
        <v>3</v>
      </c>
      <c r="Q225" s="30">
        <v>0</v>
      </c>
      <c r="R225" s="30"/>
      <c r="S225" s="30"/>
      <c r="T225" s="30"/>
      <c r="U225" s="32"/>
      <c r="V225" s="33"/>
      <c r="W225" s="34">
        <v>37301</v>
      </c>
      <c r="X225" s="34"/>
      <c r="Y225" s="34">
        <f t="shared" si="35"/>
        <v>37301</v>
      </c>
      <c r="Z225" s="35">
        <f t="shared" si="36"/>
        <v>42414</v>
      </c>
      <c r="AA225" s="36">
        <v>46</v>
      </c>
      <c r="AB225" s="35">
        <f t="shared" si="34"/>
        <v>59216</v>
      </c>
      <c r="AC225" s="25" t="s">
        <v>1242</v>
      </c>
      <c r="AD225" s="25" t="s">
        <v>755</v>
      </c>
      <c r="AE225" s="25" t="s">
        <v>1030</v>
      </c>
      <c r="AF225" s="25" t="s">
        <v>745</v>
      </c>
      <c r="AG225" s="25" t="s">
        <v>67</v>
      </c>
      <c r="AH225" s="25">
        <v>59801</v>
      </c>
      <c r="AI225" s="37"/>
      <c r="AJ225" s="25" t="s">
        <v>1243</v>
      </c>
      <c r="AK225" s="42"/>
      <c r="AL225" s="24">
        <v>53</v>
      </c>
      <c r="AM225" s="25"/>
      <c r="AN225" s="25"/>
      <c r="AO225" s="25">
        <v>19</v>
      </c>
      <c r="AP225" s="25">
        <v>34</v>
      </c>
      <c r="AQ225" s="25"/>
      <c r="AR225" s="25"/>
      <c r="AS225" s="25"/>
      <c r="AT225" s="25"/>
      <c r="AU225" s="25">
        <v>17</v>
      </c>
      <c r="AV225" s="25"/>
      <c r="AW225" s="86"/>
      <c r="AX225" s="86"/>
      <c r="AY225" s="86"/>
      <c r="AZ225" s="86"/>
      <c r="BA225" s="86"/>
      <c r="BB225" s="86"/>
      <c r="BC225" s="86"/>
      <c r="BD225" s="86"/>
      <c r="BE225" s="86"/>
      <c r="BJ225" s="40">
        <v>2781976</v>
      </c>
      <c r="BK225" s="40">
        <f>VLOOKUP(M225,[1]EconBenMult!$B$12:$D$14,2,TRUE)*(BJ225/1000000)</f>
        <v>33.467171279999995</v>
      </c>
      <c r="BL225" s="31">
        <f>VLOOKUP(M225,[1]EconBenMult!$B$12:$D$14,3,TRUE)*(BJ225/1000000)</f>
        <v>1945237.8792075997</v>
      </c>
      <c r="BM225" s="40"/>
      <c r="BN225" s="40"/>
      <c r="BO225" s="40"/>
      <c r="BP225" s="40"/>
    </row>
    <row r="226" spans="1:68" ht="15" customHeight="1" x14ac:dyDescent="0.2">
      <c r="A226" s="34">
        <v>36889</v>
      </c>
      <c r="B226" s="24">
        <v>2000</v>
      </c>
      <c r="C226" s="24" t="s">
        <v>181</v>
      </c>
      <c r="D226" s="25" t="s">
        <v>1244</v>
      </c>
      <c r="E226" s="25" t="s">
        <v>1245</v>
      </c>
      <c r="F226" s="25" t="s">
        <v>1246</v>
      </c>
      <c r="G226" s="26">
        <v>59527</v>
      </c>
      <c r="J226" s="25" t="s">
        <v>959</v>
      </c>
      <c r="K226" s="28">
        <v>0.09</v>
      </c>
      <c r="L226" s="24" t="s">
        <v>188</v>
      </c>
      <c r="M226" s="25" t="s">
        <v>95</v>
      </c>
      <c r="N226" s="24" t="s">
        <v>62</v>
      </c>
      <c r="O226" s="29">
        <v>11</v>
      </c>
      <c r="P226" s="24">
        <v>11</v>
      </c>
      <c r="Q226" s="30">
        <v>528000</v>
      </c>
      <c r="R226" s="30"/>
      <c r="S226" s="30"/>
      <c r="T226" s="30"/>
      <c r="W226" s="34">
        <v>37295</v>
      </c>
      <c r="Y226" s="34">
        <f t="shared" si="35"/>
        <v>37295</v>
      </c>
      <c r="Z226" s="35">
        <f t="shared" si="36"/>
        <v>42408</v>
      </c>
      <c r="AA226" s="36">
        <v>16</v>
      </c>
      <c r="AB226" s="35">
        <f t="shared" si="34"/>
        <v>48252</v>
      </c>
      <c r="AC226" s="25" t="s">
        <v>1247</v>
      </c>
      <c r="AD226" s="25" t="s">
        <v>961</v>
      </c>
      <c r="AE226" s="25" t="s">
        <v>1006</v>
      </c>
      <c r="AF226" s="25" t="s">
        <v>963</v>
      </c>
      <c r="AG226" s="25" t="s">
        <v>67</v>
      </c>
      <c r="AH226" s="25">
        <v>59526</v>
      </c>
      <c r="AI226" s="37"/>
      <c r="AJ226" s="25" t="s">
        <v>1248</v>
      </c>
      <c r="AL226" s="24">
        <v>11</v>
      </c>
      <c r="AQ226" s="25">
        <v>11</v>
      </c>
      <c r="BJ226" s="40">
        <v>834415</v>
      </c>
      <c r="BK226" s="40">
        <f>VLOOKUP(M226,[1]EconBenMult!$B$12:$D$14,2,TRUE)*(BJ226/1000000)</f>
        <v>10.03801245</v>
      </c>
      <c r="BL226" s="31">
        <f>VLOOKUP(M226,[1]EconBenMult!$B$12:$D$14,3,TRUE)*(BJ226/1000000)</f>
        <v>583447.04087274999</v>
      </c>
    </row>
    <row r="227" spans="1:68" ht="15" customHeight="1" x14ac:dyDescent="0.2">
      <c r="A227" s="34">
        <v>36889</v>
      </c>
      <c r="B227" s="24">
        <v>2000</v>
      </c>
      <c r="C227" s="24" t="s">
        <v>181</v>
      </c>
      <c r="D227" s="25" t="s">
        <v>1249</v>
      </c>
      <c r="E227" s="25" t="s">
        <v>1250</v>
      </c>
      <c r="F227" s="25" t="s">
        <v>958</v>
      </c>
      <c r="G227" s="26">
        <v>59526</v>
      </c>
      <c r="J227" s="25" t="s">
        <v>959</v>
      </c>
      <c r="K227" s="28">
        <v>0.09</v>
      </c>
      <c r="L227" s="24" t="s">
        <v>188</v>
      </c>
      <c r="M227" s="25" t="s">
        <v>95</v>
      </c>
      <c r="N227" s="24" t="s">
        <v>62</v>
      </c>
      <c r="O227" s="29">
        <v>11</v>
      </c>
      <c r="P227" s="24">
        <v>11</v>
      </c>
      <c r="Q227" s="30">
        <v>528000</v>
      </c>
      <c r="R227" s="30"/>
      <c r="S227" s="30"/>
      <c r="T227" s="30"/>
      <c r="W227" s="34">
        <v>37295</v>
      </c>
      <c r="Y227" s="34">
        <f t="shared" si="35"/>
        <v>37295</v>
      </c>
      <c r="Z227" s="35">
        <f t="shared" si="36"/>
        <v>42408</v>
      </c>
      <c r="AA227" s="36">
        <v>16</v>
      </c>
      <c r="AB227" s="35">
        <f t="shared" si="34"/>
        <v>48252</v>
      </c>
      <c r="AC227" s="25" t="s">
        <v>960</v>
      </c>
      <c r="AD227" s="25" t="s">
        <v>961</v>
      </c>
      <c r="AE227" s="25" t="s">
        <v>1006</v>
      </c>
      <c r="AF227" s="25" t="s">
        <v>963</v>
      </c>
      <c r="AG227" s="25" t="s">
        <v>67</v>
      </c>
      <c r="AH227" s="25">
        <v>59526</v>
      </c>
      <c r="AI227" s="37"/>
      <c r="AJ227" s="25" t="s">
        <v>1248</v>
      </c>
      <c r="AL227" s="24">
        <v>11</v>
      </c>
      <c r="AQ227" s="25">
        <v>11</v>
      </c>
      <c r="BJ227" s="40">
        <v>834415</v>
      </c>
      <c r="BK227" s="40">
        <f>VLOOKUP(M227,[1]EconBenMult!$B$12:$D$14,2,TRUE)*(BJ227/1000000)</f>
        <v>10.03801245</v>
      </c>
      <c r="BL227" s="31">
        <f>VLOOKUP(M227,[1]EconBenMult!$B$12:$D$14,3,TRUE)*(BJ227/1000000)</f>
        <v>583447.04087274999</v>
      </c>
    </row>
    <row r="228" spans="1:68" ht="15" customHeight="1" x14ac:dyDescent="0.2">
      <c r="A228" s="82">
        <v>36875</v>
      </c>
      <c r="B228" s="60">
        <v>2000</v>
      </c>
      <c r="C228" s="60" t="s">
        <v>181</v>
      </c>
      <c r="D228" s="62" t="s">
        <v>1251</v>
      </c>
      <c r="E228" s="62" t="s">
        <v>1252</v>
      </c>
      <c r="F228" s="62" t="s">
        <v>198</v>
      </c>
      <c r="G228" s="63">
        <v>59923</v>
      </c>
      <c r="H228" s="64"/>
      <c r="I228" s="64"/>
      <c r="J228" s="62" t="s">
        <v>199</v>
      </c>
      <c r="K228" s="83">
        <v>0.09</v>
      </c>
      <c r="L228" s="60" t="s">
        <v>1253</v>
      </c>
      <c r="M228" s="62" t="s">
        <v>61</v>
      </c>
      <c r="N228" s="60" t="s">
        <v>347</v>
      </c>
      <c r="O228" s="68" t="s">
        <v>537</v>
      </c>
      <c r="P228" s="60"/>
      <c r="Q228" s="69">
        <v>975020</v>
      </c>
      <c r="R228" s="69"/>
      <c r="S228" s="69"/>
      <c r="T228" s="69"/>
      <c r="U228" s="71"/>
      <c r="V228" s="72"/>
      <c r="W228" s="34">
        <v>36861</v>
      </c>
      <c r="Y228" s="34">
        <f t="shared" si="35"/>
        <v>36861</v>
      </c>
      <c r="Z228" s="35">
        <f t="shared" si="36"/>
        <v>41974</v>
      </c>
      <c r="AA228" s="84">
        <v>16</v>
      </c>
      <c r="AB228" s="35">
        <f t="shared" si="34"/>
        <v>47818</v>
      </c>
      <c r="AC228" s="62" t="s">
        <v>1254</v>
      </c>
      <c r="AD228" s="62" t="s">
        <v>858</v>
      </c>
      <c r="AE228" s="62" t="s">
        <v>859</v>
      </c>
      <c r="AF228" s="62" t="s">
        <v>860</v>
      </c>
      <c r="AG228" s="62" t="s">
        <v>89</v>
      </c>
      <c r="AH228" s="62">
        <v>92110</v>
      </c>
      <c r="AI228" s="37"/>
      <c r="AJ228" s="62" t="s">
        <v>1255</v>
      </c>
      <c r="AK228" s="85"/>
      <c r="AL228" s="60">
        <v>34</v>
      </c>
      <c r="AM228" s="62"/>
      <c r="AN228" s="62">
        <v>9</v>
      </c>
      <c r="AO228" s="62">
        <v>25</v>
      </c>
      <c r="AP228" s="62"/>
      <c r="AQ228" s="62"/>
      <c r="AR228" s="62"/>
      <c r="AS228" s="62"/>
      <c r="AT228" s="62"/>
      <c r="AU228" s="62">
        <v>2</v>
      </c>
      <c r="AV228" s="62"/>
      <c r="BJ228" s="40">
        <v>1518726</v>
      </c>
      <c r="BK228" s="40">
        <f>VLOOKUP(M228,[1]EconBenMult!$B$12:$D$14,2,TRUE)*(BJ228/1000000)</f>
        <v>11.785313759999999</v>
      </c>
      <c r="BL228" s="31">
        <f>VLOOKUP(M228,[1]EconBenMult!$B$12:$D$14,3,TRUE)*(BJ228/1000000)</f>
        <v>650361.05827704002</v>
      </c>
    </row>
    <row r="229" spans="1:68" ht="15" customHeight="1" x14ac:dyDescent="0.2">
      <c r="A229" s="34">
        <v>36875</v>
      </c>
      <c r="B229" s="24">
        <v>2000</v>
      </c>
      <c r="C229" s="24" t="s">
        <v>181</v>
      </c>
      <c r="D229" s="25" t="s">
        <v>1256</v>
      </c>
      <c r="E229" s="25" t="s">
        <v>1257</v>
      </c>
      <c r="F229" s="25" t="s">
        <v>1258</v>
      </c>
      <c r="G229" s="26">
        <v>59864</v>
      </c>
      <c r="J229" s="25" t="s">
        <v>441</v>
      </c>
      <c r="K229" s="28">
        <v>0.09</v>
      </c>
      <c r="L229" s="24" t="s">
        <v>188</v>
      </c>
      <c r="M229" s="25" t="s">
        <v>95</v>
      </c>
      <c r="N229" s="24" t="s">
        <v>347</v>
      </c>
      <c r="O229" s="29">
        <v>10</v>
      </c>
      <c r="P229" s="24">
        <v>1</v>
      </c>
      <c r="Q229" s="30">
        <v>640000</v>
      </c>
      <c r="R229" s="30"/>
      <c r="S229" s="30"/>
      <c r="T229" s="30"/>
      <c r="W229" s="34">
        <v>37068</v>
      </c>
      <c r="Y229" s="34">
        <f t="shared" si="35"/>
        <v>37068</v>
      </c>
      <c r="Z229" s="35">
        <f t="shared" si="36"/>
        <v>42181</v>
      </c>
      <c r="AA229" s="36">
        <v>16</v>
      </c>
      <c r="AB229" s="35">
        <f t="shared" si="34"/>
        <v>48025</v>
      </c>
      <c r="AC229" s="25" t="s">
        <v>1259</v>
      </c>
      <c r="AD229" s="25" t="s">
        <v>1040</v>
      </c>
      <c r="AE229" s="25" t="s">
        <v>1041</v>
      </c>
      <c r="AF229" s="25" t="s">
        <v>1042</v>
      </c>
      <c r="AG229" s="25" t="s">
        <v>67</v>
      </c>
      <c r="AH229" s="25">
        <v>59855</v>
      </c>
      <c r="AI229" s="37"/>
      <c r="AJ229" s="25" t="s">
        <v>1148</v>
      </c>
      <c r="AL229" s="24">
        <v>10</v>
      </c>
      <c r="AO229" s="25">
        <v>10</v>
      </c>
      <c r="BJ229" s="40">
        <v>455136</v>
      </c>
      <c r="BK229" s="40">
        <f>VLOOKUP(M229,[1]EconBenMult!$B$12:$D$14,2,TRUE)*(BJ229/1000000)</f>
        <v>5.4752860799999992</v>
      </c>
      <c r="BL229" s="31">
        <f>VLOOKUP(M229,[1]EconBenMult!$B$12:$D$14,3,TRUE)*(BJ229/1000000)</f>
        <v>318244.22187359998</v>
      </c>
    </row>
    <row r="230" spans="1:68" ht="15" customHeight="1" x14ac:dyDescent="0.2">
      <c r="A230" s="34">
        <v>36875</v>
      </c>
      <c r="B230" s="24">
        <v>2000</v>
      </c>
      <c r="C230" s="24" t="s">
        <v>181</v>
      </c>
      <c r="D230" s="25" t="s">
        <v>1260</v>
      </c>
      <c r="E230" s="25" t="s">
        <v>1261</v>
      </c>
      <c r="F230" s="25" t="s">
        <v>568</v>
      </c>
      <c r="G230" s="26">
        <v>59714</v>
      </c>
      <c r="J230" s="25" t="s">
        <v>94</v>
      </c>
      <c r="K230" s="28">
        <v>0.09</v>
      </c>
      <c r="L230" s="24" t="s">
        <v>147</v>
      </c>
      <c r="M230" s="25" t="s">
        <v>95</v>
      </c>
      <c r="N230" s="24" t="s">
        <v>62</v>
      </c>
      <c r="O230" s="29">
        <v>12</v>
      </c>
      <c r="P230" s="24">
        <v>1</v>
      </c>
      <c r="Q230" s="30">
        <v>699270</v>
      </c>
      <c r="R230" s="30"/>
      <c r="S230" s="30"/>
      <c r="T230" s="30"/>
      <c r="W230" s="34">
        <v>36874</v>
      </c>
      <c r="Y230" s="34">
        <f t="shared" si="35"/>
        <v>36874</v>
      </c>
      <c r="Z230" s="35">
        <f t="shared" si="36"/>
        <v>41987</v>
      </c>
      <c r="AA230" s="36">
        <v>16</v>
      </c>
      <c r="AB230" s="35">
        <f t="shared" si="34"/>
        <v>47831</v>
      </c>
      <c r="AC230" s="25" t="s">
        <v>1262</v>
      </c>
      <c r="AD230" s="25" t="s">
        <v>1051</v>
      </c>
      <c r="AE230" s="25" t="s">
        <v>1143</v>
      </c>
      <c r="AF230" s="25" t="s">
        <v>986</v>
      </c>
      <c r="AG230" s="25" t="s">
        <v>67</v>
      </c>
      <c r="AH230" s="25">
        <v>59718</v>
      </c>
      <c r="AI230" s="37"/>
      <c r="AJ230" s="25" t="s">
        <v>1263</v>
      </c>
      <c r="AL230" s="24">
        <v>12</v>
      </c>
      <c r="AO230" s="25">
        <v>12</v>
      </c>
      <c r="BJ230" s="40">
        <v>425280</v>
      </c>
      <c r="BK230" s="40">
        <f>VLOOKUP(M230,[1]EconBenMult!$B$12:$D$14,2,TRUE)*(BJ230/1000000)</f>
        <v>5.1161183999999995</v>
      </c>
      <c r="BL230" s="31">
        <f>VLOOKUP(M230,[1]EconBenMult!$B$12:$D$14,3,TRUE)*(BJ230/1000000)</f>
        <v>297368.04532799998</v>
      </c>
    </row>
    <row r="231" spans="1:68" ht="15" customHeight="1" x14ac:dyDescent="0.2">
      <c r="A231" s="34">
        <v>36301</v>
      </c>
      <c r="B231" s="24">
        <v>1999</v>
      </c>
      <c r="C231" s="24" t="s">
        <v>181</v>
      </c>
      <c r="D231" s="25" t="s">
        <v>1264</v>
      </c>
      <c r="E231" s="25" t="s">
        <v>1265</v>
      </c>
      <c r="F231" s="25" t="s">
        <v>66</v>
      </c>
      <c r="G231" s="26">
        <v>59901</v>
      </c>
      <c r="J231" s="25" t="s">
        <v>59</v>
      </c>
      <c r="K231" s="28">
        <v>0.04</v>
      </c>
      <c r="L231" s="24" t="s">
        <v>1253</v>
      </c>
      <c r="M231" s="25" t="s">
        <v>61</v>
      </c>
      <c r="N231" s="24" t="s">
        <v>62</v>
      </c>
      <c r="O231" s="29">
        <v>52</v>
      </c>
      <c r="P231" s="24">
        <v>5</v>
      </c>
      <c r="Q231" s="30">
        <v>749940</v>
      </c>
      <c r="R231" s="30"/>
      <c r="S231" s="30"/>
      <c r="T231" s="30"/>
      <c r="W231" s="34">
        <v>36404</v>
      </c>
      <c r="Y231" s="34">
        <f t="shared" si="35"/>
        <v>36404</v>
      </c>
      <c r="Z231" s="35">
        <f t="shared" si="36"/>
        <v>41518</v>
      </c>
      <c r="AA231" s="36">
        <v>16</v>
      </c>
      <c r="AB231" s="35">
        <f t="shared" si="34"/>
        <v>47362</v>
      </c>
      <c r="AC231" s="25" t="s">
        <v>1266</v>
      </c>
      <c r="AD231" s="25" t="s">
        <v>858</v>
      </c>
      <c r="AE231" s="25" t="s">
        <v>859</v>
      </c>
      <c r="AF231" s="25" t="s">
        <v>860</v>
      </c>
      <c r="AG231" s="25" t="s">
        <v>89</v>
      </c>
      <c r="AH231" s="25">
        <v>92110</v>
      </c>
      <c r="AI231" s="37"/>
      <c r="AJ231" s="25" t="s">
        <v>772</v>
      </c>
      <c r="AL231" s="24">
        <f t="shared" ref="AL231:AL246" si="37">SUM(AM231:AV231)</f>
        <v>52</v>
      </c>
      <c r="AO231" s="25">
        <v>16</v>
      </c>
      <c r="AP231" s="25">
        <v>22</v>
      </c>
      <c r="AQ231" s="25">
        <v>13</v>
      </c>
      <c r="AV231" s="25">
        <v>1</v>
      </c>
      <c r="BJ231" s="40">
        <v>2344353</v>
      </c>
      <c r="BK231" s="40">
        <f>VLOOKUP(M231,[1]EconBenMult!$B$12:$D$14,2,TRUE)*(BJ231/1000000)</f>
        <v>18.192179279999998</v>
      </c>
      <c r="BL231" s="31">
        <f>VLOOKUP(M231,[1]EconBenMult!$B$12:$D$14,3,TRUE)*(BJ231/1000000)</f>
        <v>1003917.69025812</v>
      </c>
    </row>
    <row r="232" spans="1:68" s="87" customFormat="1" ht="15" customHeight="1" x14ac:dyDescent="0.2">
      <c r="A232" s="34">
        <v>36301</v>
      </c>
      <c r="B232" s="24">
        <v>1999</v>
      </c>
      <c r="C232" s="24" t="s">
        <v>181</v>
      </c>
      <c r="D232" s="25" t="s">
        <v>1267</v>
      </c>
      <c r="E232" s="25" t="s">
        <v>1268</v>
      </c>
      <c r="F232" s="25" t="s">
        <v>108</v>
      </c>
      <c r="G232" s="26">
        <v>59801</v>
      </c>
      <c r="H232" s="27"/>
      <c r="I232" s="27"/>
      <c r="J232" s="25" t="s">
        <v>108</v>
      </c>
      <c r="K232" s="28">
        <v>0.04</v>
      </c>
      <c r="L232" s="24" t="s">
        <v>1253</v>
      </c>
      <c r="M232" s="25" t="s">
        <v>61</v>
      </c>
      <c r="N232" s="24" t="s">
        <v>62</v>
      </c>
      <c r="O232" s="29">
        <v>104</v>
      </c>
      <c r="P232" s="24">
        <v>12</v>
      </c>
      <c r="Q232" s="31">
        <v>1380660</v>
      </c>
      <c r="R232" s="31"/>
      <c r="S232" s="31"/>
      <c r="T232" s="31"/>
      <c r="U232" s="32"/>
      <c r="V232" s="33"/>
      <c r="W232" s="34">
        <v>36708</v>
      </c>
      <c r="X232" s="34"/>
      <c r="Y232" s="34">
        <f t="shared" si="35"/>
        <v>36708</v>
      </c>
      <c r="Z232" s="35">
        <f t="shared" si="36"/>
        <v>41821</v>
      </c>
      <c r="AA232" s="36">
        <v>16</v>
      </c>
      <c r="AB232" s="35">
        <f t="shared" si="34"/>
        <v>47665</v>
      </c>
      <c r="AC232" s="25" t="s">
        <v>857</v>
      </c>
      <c r="AD232" s="25" t="s">
        <v>858</v>
      </c>
      <c r="AE232" s="25" t="s">
        <v>859</v>
      </c>
      <c r="AF232" s="25" t="s">
        <v>860</v>
      </c>
      <c r="AG232" s="25" t="s">
        <v>89</v>
      </c>
      <c r="AH232" s="25">
        <v>92110</v>
      </c>
      <c r="AI232" s="37"/>
      <c r="AJ232" s="25"/>
      <c r="AK232" s="42"/>
      <c r="AL232" s="24">
        <f t="shared" si="37"/>
        <v>104</v>
      </c>
      <c r="AM232" s="25"/>
      <c r="AN232" s="25">
        <v>14</v>
      </c>
      <c r="AO232" s="25">
        <v>19</v>
      </c>
      <c r="AP232" s="25">
        <v>64</v>
      </c>
      <c r="AQ232" s="25">
        <v>1</v>
      </c>
      <c r="AR232" s="25"/>
      <c r="AS232" s="25"/>
      <c r="AT232" s="25"/>
      <c r="AU232" s="25">
        <v>5</v>
      </c>
      <c r="AV232" s="25">
        <v>1</v>
      </c>
      <c r="AW232" s="86"/>
      <c r="AX232" s="86"/>
      <c r="AY232" s="86"/>
      <c r="AZ232" s="86"/>
      <c r="BA232" s="86"/>
      <c r="BB232" s="86"/>
      <c r="BC232" s="86"/>
      <c r="BD232" s="86"/>
      <c r="BE232" s="86"/>
      <c r="BJ232" s="40">
        <v>4529392</v>
      </c>
      <c r="BK232" s="40">
        <f>VLOOKUP(M232,[1]EconBenMult!$B$12:$D$14,2,TRUE)*(BJ232/1000000)</f>
        <v>35.148081919999996</v>
      </c>
      <c r="BL232" s="31">
        <f>VLOOKUP(M232,[1]EconBenMult!$B$12:$D$14,3,TRUE)*(BJ232/1000000)</f>
        <v>1939612.6585516797</v>
      </c>
      <c r="BM232" s="40"/>
      <c r="BN232" s="40"/>
      <c r="BO232" s="40"/>
      <c r="BP232" s="40"/>
    </row>
    <row r="233" spans="1:68" s="87" customFormat="1" ht="15" customHeight="1" x14ac:dyDescent="0.2">
      <c r="A233" s="34">
        <v>36301</v>
      </c>
      <c r="B233" s="24">
        <v>1999</v>
      </c>
      <c r="C233" s="24" t="s">
        <v>181</v>
      </c>
      <c r="D233" s="25" t="s">
        <v>1269</v>
      </c>
      <c r="E233" s="25" t="s">
        <v>1270</v>
      </c>
      <c r="F233" s="25" t="s">
        <v>409</v>
      </c>
      <c r="G233" s="26">
        <v>59722</v>
      </c>
      <c r="H233" s="27"/>
      <c r="I233" s="27"/>
      <c r="J233" s="25" t="s">
        <v>410</v>
      </c>
      <c r="K233" s="28">
        <v>0.04</v>
      </c>
      <c r="L233" s="24" t="s">
        <v>1253</v>
      </c>
      <c r="M233" s="25" t="s">
        <v>61</v>
      </c>
      <c r="N233" s="24" t="s">
        <v>62</v>
      </c>
      <c r="O233" s="29">
        <v>24</v>
      </c>
      <c r="P233" s="24">
        <v>1</v>
      </c>
      <c r="Q233" s="31">
        <v>184510</v>
      </c>
      <c r="R233" s="31"/>
      <c r="S233" s="31"/>
      <c r="T233" s="31"/>
      <c r="U233" s="32"/>
      <c r="V233" s="33"/>
      <c r="W233" s="34">
        <v>36708</v>
      </c>
      <c r="X233" s="34"/>
      <c r="Y233" s="34">
        <f t="shared" si="35"/>
        <v>36708</v>
      </c>
      <c r="Z233" s="35">
        <f t="shared" si="36"/>
        <v>41821</v>
      </c>
      <c r="AA233" s="36">
        <v>16</v>
      </c>
      <c r="AB233" s="35">
        <f t="shared" si="34"/>
        <v>47665</v>
      </c>
      <c r="AC233" s="25" t="s">
        <v>857</v>
      </c>
      <c r="AD233" s="25" t="s">
        <v>858</v>
      </c>
      <c r="AE233" s="25" t="s">
        <v>859</v>
      </c>
      <c r="AF233" s="25" t="s">
        <v>860</v>
      </c>
      <c r="AG233" s="25" t="s">
        <v>89</v>
      </c>
      <c r="AH233" s="25">
        <v>92110</v>
      </c>
      <c r="AI233" s="37"/>
      <c r="AJ233" s="25" t="s">
        <v>861</v>
      </c>
      <c r="AK233" s="42"/>
      <c r="AL233" s="24">
        <f t="shared" si="37"/>
        <v>24</v>
      </c>
      <c r="AM233" s="25"/>
      <c r="AN233" s="25">
        <v>8</v>
      </c>
      <c r="AO233" s="25">
        <v>11</v>
      </c>
      <c r="AP233" s="25">
        <v>1</v>
      </c>
      <c r="AQ233" s="25"/>
      <c r="AR233" s="25"/>
      <c r="AS233" s="25"/>
      <c r="AT233" s="25"/>
      <c r="AU233" s="25">
        <v>3</v>
      </c>
      <c r="AV233" s="25">
        <v>1</v>
      </c>
      <c r="AW233" s="86"/>
      <c r="AX233" s="86"/>
      <c r="AY233" s="86"/>
      <c r="AZ233" s="86"/>
      <c r="BA233" s="86"/>
      <c r="BB233" s="86"/>
      <c r="BC233" s="86"/>
      <c r="BD233" s="86"/>
      <c r="BE233" s="86"/>
      <c r="BJ233" s="40">
        <v>706393</v>
      </c>
      <c r="BK233" s="40">
        <f>VLOOKUP(M233,[1]EconBenMult!$B$12:$D$14,2,TRUE)*(BJ233/1000000)</f>
        <v>5.48160968</v>
      </c>
      <c r="BL233" s="31">
        <f>VLOOKUP(M233,[1]EconBenMult!$B$12:$D$14,3,TRUE)*(BJ233/1000000)</f>
        <v>302497.28985971998</v>
      </c>
      <c r="BM233" s="40"/>
      <c r="BN233" s="40"/>
      <c r="BO233" s="40"/>
      <c r="BP233" s="40"/>
    </row>
    <row r="234" spans="1:68" s="87" customFormat="1" ht="15" customHeight="1" x14ac:dyDescent="0.2">
      <c r="A234" s="89">
        <v>36301</v>
      </c>
      <c r="B234" s="86">
        <v>1999</v>
      </c>
      <c r="C234" s="86" t="s">
        <v>1088</v>
      </c>
      <c r="D234" s="87" t="s">
        <v>1271</v>
      </c>
      <c r="E234" s="87" t="s">
        <v>1272</v>
      </c>
      <c r="F234" s="87" t="s">
        <v>93</v>
      </c>
      <c r="G234" s="90">
        <v>59715</v>
      </c>
      <c r="H234" s="91"/>
      <c r="I234" s="91"/>
      <c r="J234" s="87" t="s">
        <v>94</v>
      </c>
      <c r="K234" s="93">
        <v>0.04</v>
      </c>
      <c r="L234" s="86" t="s">
        <v>1253</v>
      </c>
      <c r="M234" s="87" t="s">
        <v>61</v>
      </c>
      <c r="N234" s="86" t="s">
        <v>347</v>
      </c>
      <c r="O234" s="94">
        <v>100</v>
      </c>
      <c r="P234" s="86">
        <v>1</v>
      </c>
      <c r="Q234" s="98">
        <v>1178520</v>
      </c>
      <c r="R234" s="98"/>
      <c r="S234" s="98"/>
      <c r="T234" s="98"/>
      <c r="U234" s="96"/>
      <c r="V234" s="97"/>
      <c r="W234" s="89">
        <v>36708</v>
      </c>
      <c r="X234" s="89"/>
      <c r="Y234" s="34">
        <f t="shared" si="35"/>
        <v>36708</v>
      </c>
      <c r="Z234" s="35">
        <f t="shared" si="36"/>
        <v>41821</v>
      </c>
      <c r="AA234" s="99">
        <v>16</v>
      </c>
      <c r="AB234" s="136">
        <f t="shared" si="34"/>
        <v>47665</v>
      </c>
      <c r="AC234" s="87" t="s">
        <v>1273</v>
      </c>
      <c r="AD234" s="87" t="s">
        <v>858</v>
      </c>
      <c r="AE234" s="87" t="s">
        <v>859</v>
      </c>
      <c r="AF234" s="87" t="s">
        <v>860</v>
      </c>
      <c r="AG234" s="87" t="s">
        <v>89</v>
      </c>
      <c r="AH234" s="87">
        <v>92110</v>
      </c>
      <c r="AI234" s="37"/>
      <c r="AJ234" s="87" t="s">
        <v>772</v>
      </c>
      <c r="AK234" s="100"/>
      <c r="AL234" s="86">
        <f t="shared" si="37"/>
        <v>100</v>
      </c>
      <c r="AN234" s="87">
        <v>30</v>
      </c>
      <c r="AO234" s="87">
        <v>64</v>
      </c>
      <c r="AU234" s="87">
        <v>5</v>
      </c>
      <c r="AV234" s="87">
        <v>1</v>
      </c>
      <c r="AW234" s="86"/>
      <c r="AX234" s="86"/>
      <c r="AY234" s="86"/>
      <c r="AZ234" s="86"/>
      <c r="BA234" s="86"/>
      <c r="BB234" s="86"/>
      <c r="BC234" s="86"/>
      <c r="BD234" s="86"/>
      <c r="BE234" s="86"/>
      <c r="BJ234" s="40">
        <v>3740749</v>
      </c>
      <c r="BK234" s="40">
        <f>VLOOKUP(M234,[1]EconBenMult!$B$12:$D$14,2,TRUE)*(BJ234/1000000)</f>
        <v>29.028212239999998</v>
      </c>
      <c r="BL234" s="31">
        <f>VLOOKUP(M234,[1]EconBenMult!$B$12:$D$14,3,TRUE)*(BJ234/1000000)</f>
        <v>1601893.61240196</v>
      </c>
      <c r="BM234" s="40"/>
      <c r="BN234" s="40"/>
      <c r="BO234" s="40"/>
      <c r="BP234" s="40"/>
    </row>
    <row r="235" spans="1:68" ht="15" customHeight="1" x14ac:dyDescent="0.2">
      <c r="A235" s="34">
        <v>36301</v>
      </c>
      <c r="B235" s="24">
        <v>1999</v>
      </c>
      <c r="C235" s="24" t="s">
        <v>181</v>
      </c>
      <c r="D235" s="25" t="s">
        <v>1274</v>
      </c>
      <c r="E235" s="25" t="s">
        <v>1275</v>
      </c>
      <c r="F235" s="25" t="s">
        <v>1098</v>
      </c>
      <c r="G235" s="26">
        <v>59912</v>
      </c>
      <c r="J235" s="25" t="s">
        <v>59</v>
      </c>
      <c r="K235" s="28">
        <v>0.04</v>
      </c>
      <c r="L235" s="24" t="s">
        <v>1253</v>
      </c>
      <c r="M235" s="25" t="s">
        <v>61</v>
      </c>
      <c r="N235" s="24" t="s">
        <v>62</v>
      </c>
      <c r="O235" s="29">
        <v>36</v>
      </c>
      <c r="P235" s="24">
        <v>3</v>
      </c>
      <c r="Q235" s="31">
        <v>487150</v>
      </c>
      <c r="R235" s="31"/>
      <c r="S235" s="31"/>
      <c r="T235" s="31"/>
      <c r="W235" s="34">
        <v>36708</v>
      </c>
      <c r="Y235" s="34">
        <f t="shared" si="35"/>
        <v>36708</v>
      </c>
      <c r="Z235" s="35">
        <f t="shared" si="36"/>
        <v>41821</v>
      </c>
      <c r="AA235" s="36">
        <v>16</v>
      </c>
      <c r="AB235" s="35">
        <f t="shared" si="34"/>
        <v>47665</v>
      </c>
      <c r="AC235" s="25" t="s">
        <v>1276</v>
      </c>
      <c r="AD235" s="25" t="s">
        <v>858</v>
      </c>
      <c r="AE235" s="25" t="s">
        <v>859</v>
      </c>
      <c r="AF235" s="25" t="s">
        <v>860</v>
      </c>
      <c r="AG235" s="25" t="s">
        <v>89</v>
      </c>
      <c r="AH235" s="25">
        <v>92110</v>
      </c>
      <c r="AI235" s="37"/>
      <c r="AJ235" s="25" t="s">
        <v>1277</v>
      </c>
      <c r="AL235" s="24">
        <f t="shared" si="37"/>
        <v>36</v>
      </c>
      <c r="AP235" s="25">
        <v>24</v>
      </c>
      <c r="AQ235" s="25">
        <v>12</v>
      </c>
      <c r="BJ235" s="40">
        <v>1535779</v>
      </c>
      <c r="BK235" s="40">
        <f>VLOOKUP(M235,[1]EconBenMult!$B$12:$D$14,2,TRUE)*(BJ235/1000000)</f>
        <v>11.91764504</v>
      </c>
      <c r="BL235" s="31">
        <f>VLOOKUP(M235,[1]EconBenMult!$B$12:$D$14,3,TRUE)*(BJ235/1000000)</f>
        <v>657663.63104315998</v>
      </c>
    </row>
    <row r="236" spans="1:68" ht="15" customHeight="1" x14ac:dyDescent="0.2">
      <c r="A236" s="34">
        <v>36213</v>
      </c>
      <c r="B236" s="24">
        <v>1999</v>
      </c>
      <c r="C236" s="24" t="s">
        <v>181</v>
      </c>
      <c r="D236" s="25" t="s">
        <v>1278</v>
      </c>
      <c r="E236" s="25" t="s">
        <v>1279</v>
      </c>
      <c r="F236" s="25" t="s">
        <v>967</v>
      </c>
      <c r="G236" s="26">
        <v>59301</v>
      </c>
      <c r="J236" s="25" t="s">
        <v>968</v>
      </c>
      <c r="K236" s="28">
        <v>0.09</v>
      </c>
      <c r="L236" s="24" t="s">
        <v>1280</v>
      </c>
      <c r="M236" s="25" t="s">
        <v>61</v>
      </c>
      <c r="N236" s="24" t="s">
        <v>62</v>
      </c>
      <c r="O236" s="29">
        <v>32</v>
      </c>
      <c r="P236" s="24">
        <v>8</v>
      </c>
      <c r="Q236" s="31">
        <v>612150</v>
      </c>
      <c r="R236" s="31"/>
      <c r="S236" s="31"/>
      <c r="T236" s="31"/>
      <c r="W236" s="34">
        <v>36513</v>
      </c>
      <c r="Y236" s="34">
        <f t="shared" si="35"/>
        <v>36513</v>
      </c>
      <c r="Z236" s="35">
        <f t="shared" si="36"/>
        <v>41627</v>
      </c>
      <c r="AA236" s="36">
        <v>15</v>
      </c>
      <c r="AB236" s="35">
        <f t="shared" si="34"/>
        <v>47106</v>
      </c>
      <c r="AC236" s="25" t="s">
        <v>1281</v>
      </c>
      <c r="AD236" s="25" t="s">
        <v>1282</v>
      </c>
      <c r="AE236" s="25" t="s">
        <v>1283</v>
      </c>
      <c r="AF236" s="25" t="s">
        <v>1284</v>
      </c>
      <c r="AG236" s="25" t="s">
        <v>1285</v>
      </c>
      <c r="AH236" s="25">
        <v>34134</v>
      </c>
      <c r="AI236" s="37"/>
      <c r="AJ236" s="37"/>
      <c r="AL236" s="24">
        <f t="shared" si="37"/>
        <v>32</v>
      </c>
      <c r="AP236" s="25">
        <v>23</v>
      </c>
      <c r="AQ236" s="25">
        <v>8</v>
      </c>
      <c r="AV236" s="25">
        <v>1</v>
      </c>
      <c r="BJ236" s="40">
        <v>2085110</v>
      </c>
      <c r="BK236" s="40">
        <f>VLOOKUP(M236,[1]EconBenMult!$B$12:$D$14,2,TRUE)*(BJ236/1000000)</f>
        <v>16.180453599999996</v>
      </c>
      <c r="BL236" s="31">
        <f>VLOOKUP(M236,[1]EconBenMult!$B$12:$D$14,3,TRUE)*(BJ236/1000000)</f>
        <v>892902.56848439982</v>
      </c>
    </row>
    <row r="237" spans="1:68" ht="15" customHeight="1" x14ac:dyDescent="0.2">
      <c r="A237" s="82">
        <v>36516</v>
      </c>
      <c r="B237" s="60">
        <v>1999</v>
      </c>
      <c r="C237" s="60" t="s">
        <v>181</v>
      </c>
      <c r="D237" s="62" t="s">
        <v>1286</v>
      </c>
      <c r="E237" s="62" t="s">
        <v>1287</v>
      </c>
      <c r="F237" s="62" t="s">
        <v>198</v>
      </c>
      <c r="G237" s="63">
        <v>59923</v>
      </c>
      <c r="H237" s="64"/>
      <c r="I237" s="64"/>
      <c r="J237" s="62" t="s">
        <v>199</v>
      </c>
      <c r="K237" s="83">
        <v>0.09</v>
      </c>
      <c r="L237" s="60" t="s">
        <v>1253</v>
      </c>
      <c r="M237" s="62" t="s">
        <v>61</v>
      </c>
      <c r="N237" s="60" t="s">
        <v>347</v>
      </c>
      <c r="O237" s="68">
        <v>34</v>
      </c>
      <c r="P237" s="60">
        <v>1</v>
      </c>
      <c r="Q237" s="73">
        <v>700000</v>
      </c>
      <c r="R237" s="73"/>
      <c r="S237" s="73"/>
      <c r="T237" s="73"/>
      <c r="U237" s="71"/>
      <c r="V237" s="72"/>
      <c r="W237" s="34">
        <v>36861</v>
      </c>
      <c r="Y237" s="34">
        <f t="shared" si="35"/>
        <v>36861</v>
      </c>
      <c r="Z237" s="35">
        <f t="shared" si="36"/>
        <v>41974</v>
      </c>
      <c r="AA237" s="84">
        <v>16</v>
      </c>
      <c r="AB237" s="35">
        <f t="shared" si="34"/>
        <v>47818</v>
      </c>
      <c r="AC237" s="62" t="s">
        <v>1254</v>
      </c>
      <c r="AD237" s="62" t="s">
        <v>858</v>
      </c>
      <c r="AE237" s="62" t="s">
        <v>859</v>
      </c>
      <c r="AF237" s="62" t="s">
        <v>860</v>
      </c>
      <c r="AG237" s="62" t="s">
        <v>89</v>
      </c>
      <c r="AH237" s="62">
        <v>92110</v>
      </c>
      <c r="AI237" s="37"/>
      <c r="AJ237" s="62" t="s">
        <v>1288</v>
      </c>
      <c r="AK237" s="85"/>
      <c r="AL237" s="60">
        <f t="shared" si="37"/>
        <v>34</v>
      </c>
      <c r="AM237" s="62"/>
      <c r="AN237" s="62">
        <v>9</v>
      </c>
      <c r="AO237" s="62">
        <v>25</v>
      </c>
      <c r="AP237" s="62"/>
      <c r="AQ237" s="62"/>
      <c r="AR237" s="62"/>
      <c r="AS237" s="62"/>
      <c r="AT237" s="62"/>
      <c r="AU237" s="62"/>
      <c r="AV237" s="62"/>
      <c r="BJ237" s="40">
        <v>1272513</v>
      </c>
      <c r="BK237" s="40">
        <f>VLOOKUP(M237,[1]EconBenMult!$B$12:$D$14,2,TRUE)*(BJ237/1000000)</f>
        <v>9.8747008799999989</v>
      </c>
      <c r="BL237" s="31">
        <f>VLOOKUP(M237,[1]EconBenMult!$B$12:$D$14,3,TRUE)*(BJ237/1000000)</f>
        <v>544925.74786451994</v>
      </c>
    </row>
    <row r="238" spans="1:68" ht="15" customHeight="1" x14ac:dyDescent="0.2">
      <c r="A238" s="34">
        <v>36516</v>
      </c>
      <c r="B238" s="24">
        <v>1999</v>
      </c>
      <c r="C238" s="24" t="s">
        <v>181</v>
      </c>
      <c r="D238" s="25" t="s">
        <v>1289</v>
      </c>
      <c r="E238" s="25" t="s">
        <v>1290</v>
      </c>
      <c r="F238" s="25" t="s">
        <v>66</v>
      </c>
      <c r="G238" s="26">
        <v>59901</v>
      </c>
      <c r="J238" s="25" t="s">
        <v>59</v>
      </c>
      <c r="K238" s="28">
        <v>0.04</v>
      </c>
      <c r="L238" s="24" t="s">
        <v>1253</v>
      </c>
      <c r="M238" s="25" t="s">
        <v>61</v>
      </c>
      <c r="N238" s="24" t="s">
        <v>347</v>
      </c>
      <c r="O238" s="29">
        <v>60</v>
      </c>
      <c r="P238" s="24">
        <v>1</v>
      </c>
      <c r="Q238" s="31">
        <v>1150000</v>
      </c>
      <c r="R238" s="31"/>
      <c r="S238" s="31"/>
      <c r="T238" s="31"/>
      <c r="W238" s="34">
        <v>36405</v>
      </c>
      <c r="Y238" s="34">
        <f t="shared" si="35"/>
        <v>36405</v>
      </c>
      <c r="Z238" s="35">
        <f t="shared" si="36"/>
        <v>41519</v>
      </c>
      <c r="AA238" s="36">
        <v>31</v>
      </c>
      <c r="AB238" s="35">
        <f t="shared" si="34"/>
        <v>52842</v>
      </c>
      <c r="AC238" s="25" t="s">
        <v>1291</v>
      </c>
      <c r="AD238" s="25" t="s">
        <v>858</v>
      </c>
      <c r="AE238" s="25" t="s">
        <v>859</v>
      </c>
      <c r="AF238" s="25" t="s">
        <v>860</v>
      </c>
      <c r="AG238" s="25" t="s">
        <v>89</v>
      </c>
      <c r="AH238" s="25">
        <v>92110</v>
      </c>
      <c r="AI238" s="37"/>
      <c r="AJ238" s="25" t="s">
        <v>1292</v>
      </c>
      <c r="AL238" s="24">
        <f t="shared" si="37"/>
        <v>60</v>
      </c>
      <c r="AN238" s="25">
        <v>28</v>
      </c>
      <c r="AO238" s="25">
        <v>32</v>
      </c>
      <c r="BJ238" s="40">
        <v>2114623</v>
      </c>
      <c r="BK238" s="40">
        <f>VLOOKUP(M238,[1]EconBenMult!$B$12:$D$14,2,TRUE)*(BJ238/1000000)</f>
        <v>16.40947448</v>
      </c>
      <c r="BL238" s="31">
        <f>VLOOKUP(M238,[1]EconBenMult!$B$12:$D$14,3,TRUE)*(BJ238/1000000)</f>
        <v>905540.86262891989</v>
      </c>
    </row>
    <row r="239" spans="1:68" ht="15" customHeight="1" x14ac:dyDescent="0.2">
      <c r="A239" s="34">
        <v>36516</v>
      </c>
      <c r="B239" s="24">
        <v>1999</v>
      </c>
      <c r="C239" s="24" t="s">
        <v>181</v>
      </c>
      <c r="D239" s="25" t="s">
        <v>1293</v>
      </c>
      <c r="E239" s="25" t="s">
        <v>1294</v>
      </c>
      <c r="F239" s="25" t="s">
        <v>113</v>
      </c>
      <c r="G239" s="26">
        <v>59101</v>
      </c>
      <c r="J239" s="25" t="s">
        <v>114</v>
      </c>
      <c r="K239" s="28">
        <v>0.09</v>
      </c>
      <c r="L239" s="24" t="s">
        <v>147</v>
      </c>
      <c r="M239" s="25" t="s">
        <v>95</v>
      </c>
      <c r="N239" s="24" t="s">
        <v>347</v>
      </c>
      <c r="O239" s="29">
        <v>50</v>
      </c>
      <c r="P239" s="24">
        <v>1</v>
      </c>
      <c r="Q239" s="31">
        <v>2750000</v>
      </c>
      <c r="R239" s="31"/>
      <c r="S239" s="31"/>
      <c r="T239" s="31"/>
      <c r="W239" s="34">
        <v>36783</v>
      </c>
      <c r="Y239" s="34">
        <f t="shared" si="35"/>
        <v>36783</v>
      </c>
      <c r="Z239" s="35">
        <f t="shared" si="36"/>
        <v>41896</v>
      </c>
      <c r="AA239" s="36">
        <v>35</v>
      </c>
      <c r="AB239" s="35">
        <f t="shared" si="34"/>
        <v>54680</v>
      </c>
      <c r="AC239" s="25" t="s">
        <v>1295</v>
      </c>
      <c r="AD239" s="25" t="s">
        <v>843</v>
      </c>
      <c r="AE239" s="25" t="s">
        <v>1082</v>
      </c>
      <c r="AF239" s="25" t="s">
        <v>745</v>
      </c>
      <c r="AG239" s="25" t="s">
        <v>67</v>
      </c>
      <c r="AH239" s="25">
        <v>59803</v>
      </c>
      <c r="AI239" s="37"/>
      <c r="AJ239" s="25" t="s">
        <v>1296</v>
      </c>
      <c r="AL239" s="24">
        <f t="shared" si="37"/>
        <v>50</v>
      </c>
      <c r="AO239" s="25">
        <v>45</v>
      </c>
      <c r="AP239" s="25">
        <v>5</v>
      </c>
      <c r="BJ239" s="40">
        <v>3556344</v>
      </c>
      <c r="BK239" s="40">
        <f>VLOOKUP(M239,[1]EconBenMult!$B$12:$D$14,2,TRUE)*(BJ239/1000000)</f>
        <v>42.782818319999997</v>
      </c>
      <c r="BL239" s="31">
        <f>VLOOKUP(M239,[1]EconBenMult!$B$12:$D$14,3,TRUE)*(BJ239/1000000)</f>
        <v>2486698.3253243999</v>
      </c>
    </row>
    <row r="240" spans="1:68" ht="15" customHeight="1" x14ac:dyDescent="0.2">
      <c r="A240" s="34">
        <v>36516</v>
      </c>
      <c r="B240" s="24">
        <v>1999</v>
      </c>
      <c r="C240" s="24" t="s">
        <v>181</v>
      </c>
      <c r="D240" s="25" t="s">
        <v>1297</v>
      </c>
      <c r="E240" s="25" t="s">
        <v>1298</v>
      </c>
      <c r="F240" s="25" t="s">
        <v>108</v>
      </c>
      <c r="G240" s="26">
        <v>59802</v>
      </c>
      <c r="J240" s="25" t="s">
        <v>108</v>
      </c>
      <c r="K240" s="28">
        <v>0.09</v>
      </c>
      <c r="L240" s="24" t="s">
        <v>239</v>
      </c>
      <c r="M240" s="25" t="s">
        <v>61</v>
      </c>
      <c r="N240" s="24" t="s">
        <v>62</v>
      </c>
      <c r="O240" s="29">
        <v>10</v>
      </c>
      <c r="P240" s="24">
        <v>1</v>
      </c>
      <c r="Q240" s="31">
        <v>1041000</v>
      </c>
      <c r="R240" s="31"/>
      <c r="S240" s="31"/>
      <c r="T240" s="31"/>
      <c r="W240" s="34">
        <v>36889</v>
      </c>
      <c r="Y240" s="34">
        <f t="shared" si="35"/>
        <v>36889</v>
      </c>
      <c r="Z240" s="35">
        <f t="shared" si="36"/>
        <v>42002</v>
      </c>
      <c r="AA240" s="36">
        <v>25</v>
      </c>
      <c r="AB240" s="35">
        <f t="shared" si="34"/>
        <v>51133</v>
      </c>
      <c r="AC240" s="25" t="s">
        <v>1299</v>
      </c>
      <c r="AD240" s="25" t="s">
        <v>1300</v>
      </c>
      <c r="AE240" s="25" t="s">
        <v>1301</v>
      </c>
      <c r="AF240" s="25" t="s">
        <v>745</v>
      </c>
      <c r="AG240" s="25" t="s">
        <v>67</v>
      </c>
      <c r="AH240" s="25">
        <v>59802</v>
      </c>
      <c r="AI240" s="37"/>
      <c r="AJ240" s="25" t="s">
        <v>1302</v>
      </c>
      <c r="AL240" s="24">
        <f t="shared" si="37"/>
        <v>10</v>
      </c>
      <c r="AN240" s="25">
        <v>4</v>
      </c>
      <c r="AO240" s="25">
        <v>6</v>
      </c>
      <c r="BJ240" s="40">
        <v>1687923</v>
      </c>
      <c r="BK240" s="40">
        <f>VLOOKUP(M240,[1]EconBenMult!$B$12:$D$14,2,TRUE)*(BJ240/1000000)</f>
        <v>13.09828248</v>
      </c>
      <c r="BL240" s="31">
        <f>VLOOKUP(M240,[1]EconBenMult!$B$12:$D$14,3,TRUE)*(BJ240/1000000)</f>
        <v>722815.95796091994</v>
      </c>
    </row>
    <row r="241" spans="1:68" ht="15" customHeight="1" x14ac:dyDescent="0.2">
      <c r="A241" s="34">
        <v>36516</v>
      </c>
      <c r="B241" s="24">
        <v>1999</v>
      </c>
      <c r="C241" s="24" t="s">
        <v>181</v>
      </c>
      <c r="D241" s="25" t="s">
        <v>1303</v>
      </c>
      <c r="E241" s="25" t="s">
        <v>1304</v>
      </c>
      <c r="F241" s="25" t="s">
        <v>1098</v>
      </c>
      <c r="G241" s="26">
        <v>59912</v>
      </c>
      <c r="J241" s="25" t="s">
        <v>59</v>
      </c>
      <c r="K241" s="28">
        <v>0.09</v>
      </c>
      <c r="L241" s="24" t="s">
        <v>147</v>
      </c>
      <c r="M241" s="25" t="s">
        <v>95</v>
      </c>
      <c r="N241" s="24" t="s">
        <v>347</v>
      </c>
      <c r="O241" s="29">
        <v>20</v>
      </c>
      <c r="P241" s="24">
        <v>5</v>
      </c>
      <c r="Q241" s="31">
        <v>435030</v>
      </c>
      <c r="R241" s="31"/>
      <c r="S241" s="31"/>
      <c r="T241" s="31"/>
      <c r="W241" s="34">
        <v>36830</v>
      </c>
      <c r="Y241" s="34">
        <f t="shared" si="35"/>
        <v>36830</v>
      </c>
      <c r="Z241" s="35">
        <f t="shared" si="36"/>
        <v>41943</v>
      </c>
      <c r="AA241" s="36">
        <v>17</v>
      </c>
      <c r="AB241" s="35">
        <f t="shared" si="34"/>
        <v>48152</v>
      </c>
      <c r="AC241" s="25" t="s">
        <v>1305</v>
      </c>
      <c r="AD241" s="25" t="s">
        <v>1306</v>
      </c>
      <c r="AE241" s="25" t="s">
        <v>1101</v>
      </c>
      <c r="AF241" s="25" t="s">
        <v>1102</v>
      </c>
      <c r="AG241" s="25" t="s">
        <v>67</v>
      </c>
      <c r="AH241" s="25" t="s">
        <v>1307</v>
      </c>
      <c r="AI241" s="37"/>
      <c r="AJ241" s="25" t="s">
        <v>1308</v>
      </c>
      <c r="AL241" s="24">
        <f t="shared" si="37"/>
        <v>20</v>
      </c>
      <c r="AO241" s="25">
        <v>19</v>
      </c>
      <c r="AV241" s="25">
        <v>1</v>
      </c>
      <c r="BJ241" s="40">
        <v>1369289</v>
      </c>
      <c r="BK241" s="40">
        <f>VLOOKUP(M241,[1]EconBenMult!$B$12:$D$14,2,TRUE)*(BJ241/1000000)</f>
        <v>16.47254667</v>
      </c>
      <c r="BL241" s="31">
        <f>VLOOKUP(M241,[1]EconBenMult!$B$12:$D$14,3,TRUE)*(BJ241/1000000)</f>
        <v>957446.37278764998</v>
      </c>
    </row>
    <row r="242" spans="1:68" ht="15" customHeight="1" x14ac:dyDescent="0.2">
      <c r="A242" s="34">
        <v>36516</v>
      </c>
      <c r="B242" s="24">
        <v>1999</v>
      </c>
      <c r="C242" s="24" t="s">
        <v>181</v>
      </c>
      <c r="D242" s="25" t="s">
        <v>1309</v>
      </c>
      <c r="E242" s="25" t="s">
        <v>1310</v>
      </c>
      <c r="F242" s="25" t="s">
        <v>1311</v>
      </c>
      <c r="G242" s="26">
        <v>59865</v>
      </c>
      <c r="J242" s="25" t="s">
        <v>526</v>
      </c>
      <c r="K242" s="28">
        <v>0.09</v>
      </c>
      <c r="L242" s="24" t="s">
        <v>239</v>
      </c>
      <c r="M242" s="25" t="s">
        <v>61</v>
      </c>
      <c r="N242" s="24" t="s">
        <v>347</v>
      </c>
      <c r="O242" s="29">
        <v>9</v>
      </c>
      <c r="P242" s="24">
        <v>1</v>
      </c>
      <c r="Q242" s="31">
        <v>110000</v>
      </c>
      <c r="R242" s="31"/>
      <c r="S242" s="31"/>
      <c r="T242" s="31"/>
      <c r="W242" s="34">
        <v>36526</v>
      </c>
      <c r="Y242" s="34">
        <f t="shared" si="35"/>
        <v>36526</v>
      </c>
      <c r="Z242" s="35">
        <f t="shared" si="36"/>
        <v>41640</v>
      </c>
      <c r="AA242" s="36">
        <v>16</v>
      </c>
      <c r="AB242" s="35">
        <f t="shared" si="34"/>
        <v>47484</v>
      </c>
      <c r="AC242" s="25" t="s">
        <v>1312</v>
      </c>
      <c r="AD242" s="25" t="s">
        <v>1223</v>
      </c>
      <c r="AE242" s="25" t="s">
        <v>1224</v>
      </c>
      <c r="AF242" s="25" t="s">
        <v>1210</v>
      </c>
      <c r="AG242" s="25" t="s">
        <v>67</v>
      </c>
      <c r="AH242" s="25">
        <v>59864</v>
      </c>
      <c r="AI242" s="37"/>
      <c r="AJ242" s="25" t="s">
        <v>1313</v>
      </c>
      <c r="AL242" s="24">
        <f t="shared" si="37"/>
        <v>9</v>
      </c>
      <c r="AO242" s="25">
        <v>5</v>
      </c>
      <c r="AP242" s="25">
        <v>4</v>
      </c>
      <c r="BJ242" s="40">
        <v>264260</v>
      </c>
      <c r="BK242" s="40">
        <f>VLOOKUP(M242,[1]EconBenMult!$B$12:$D$14,2,TRUE)*(BJ242/1000000)</f>
        <v>2.0506576000000001</v>
      </c>
      <c r="BL242" s="31">
        <f>VLOOKUP(M242,[1]EconBenMult!$B$12:$D$14,3,TRUE)*(BJ242/1000000)</f>
        <v>113163.5418504</v>
      </c>
    </row>
    <row r="243" spans="1:68" ht="15" customHeight="1" x14ac:dyDescent="0.2">
      <c r="A243" s="34">
        <v>36516</v>
      </c>
      <c r="B243" s="24">
        <v>1999</v>
      </c>
      <c r="C243" s="24" t="s">
        <v>181</v>
      </c>
      <c r="D243" s="25" t="s">
        <v>1314</v>
      </c>
      <c r="E243" s="25" t="s">
        <v>1315</v>
      </c>
      <c r="F243" s="25" t="s">
        <v>440</v>
      </c>
      <c r="G243" s="26">
        <v>59864</v>
      </c>
      <c r="H243" s="27">
        <v>47.525539999999999</v>
      </c>
      <c r="I243" s="27">
        <v>-114.09553</v>
      </c>
      <c r="J243" s="25" t="s">
        <v>526</v>
      </c>
      <c r="K243" s="28">
        <v>0.09</v>
      </c>
      <c r="L243" s="24" t="s">
        <v>239</v>
      </c>
      <c r="M243" s="25" t="s">
        <v>61</v>
      </c>
      <c r="N243" s="24" t="s">
        <v>347</v>
      </c>
      <c r="O243" s="29">
        <v>21</v>
      </c>
      <c r="P243" s="24">
        <v>1</v>
      </c>
      <c r="Q243" s="31">
        <v>310000</v>
      </c>
      <c r="R243" s="31"/>
      <c r="S243" s="31"/>
      <c r="T243" s="31"/>
      <c r="W243" s="34">
        <v>36526</v>
      </c>
      <c r="Y243" s="34">
        <f t="shared" si="35"/>
        <v>36526</v>
      </c>
      <c r="Z243" s="35">
        <f t="shared" si="36"/>
        <v>41640</v>
      </c>
      <c r="AA243" s="36">
        <v>16</v>
      </c>
      <c r="AB243" s="35">
        <f t="shared" si="34"/>
        <v>47484</v>
      </c>
      <c r="AC243" s="25" t="s">
        <v>1312</v>
      </c>
      <c r="AD243" s="25" t="s">
        <v>1223</v>
      </c>
      <c r="AE243" s="25" t="s">
        <v>1224</v>
      </c>
      <c r="AF243" s="25" t="s">
        <v>1210</v>
      </c>
      <c r="AG243" s="25" t="s">
        <v>67</v>
      </c>
      <c r="AH243" s="25">
        <v>59864</v>
      </c>
      <c r="AI243" s="37"/>
      <c r="AJ243" s="25" t="s">
        <v>1313</v>
      </c>
      <c r="AL243" s="24">
        <f t="shared" si="37"/>
        <v>21</v>
      </c>
      <c r="AO243" s="25">
        <v>13</v>
      </c>
      <c r="AP243" s="25">
        <v>8</v>
      </c>
      <c r="BJ243" s="40">
        <v>748550</v>
      </c>
      <c r="BK243" s="40">
        <f>VLOOKUP(M243,[1]EconBenMult!$B$12:$D$14,2,TRUE)*(BJ243/1000000)</f>
        <v>5.8087480000000005</v>
      </c>
      <c r="BL243" s="31">
        <f>VLOOKUP(M243,[1]EconBenMult!$B$12:$D$14,3,TRUE)*(BJ243/1000000)</f>
        <v>320550.09934200003</v>
      </c>
    </row>
    <row r="244" spans="1:68" ht="15" customHeight="1" x14ac:dyDescent="0.2">
      <c r="A244" s="34">
        <v>36516</v>
      </c>
      <c r="B244" s="24">
        <v>1999</v>
      </c>
      <c r="C244" s="24" t="s">
        <v>181</v>
      </c>
      <c r="D244" s="25" t="s">
        <v>1316</v>
      </c>
      <c r="E244" s="25" t="s">
        <v>1317</v>
      </c>
      <c r="F244" s="25" t="s">
        <v>66</v>
      </c>
      <c r="G244" s="26">
        <v>59901</v>
      </c>
      <c r="J244" s="25" t="s">
        <v>59</v>
      </c>
      <c r="K244" s="28">
        <v>0.09</v>
      </c>
      <c r="L244" s="24" t="s">
        <v>147</v>
      </c>
      <c r="M244" s="25" t="s">
        <v>95</v>
      </c>
      <c r="N244" s="24" t="s">
        <v>347</v>
      </c>
      <c r="O244" s="29">
        <v>24</v>
      </c>
      <c r="P244" s="24">
        <v>12</v>
      </c>
      <c r="Q244" s="31">
        <v>499990</v>
      </c>
      <c r="R244" s="31"/>
      <c r="S244" s="31"/>
      <c r="T244" s="31"/>
      <c r="W244" s="34">
        <v>36825</v>
      </c>
      <c r="Y244" s="34">
        <f t="shared" si="35"/>
        <v>36825</v>
      </c>
      <c r="Z244" s="35">
        <f t="shared" si="36"/>
        <v>41938</v>
      </c>
      <c r="AA244" s="36">
        <v>17</v>
      </c>
      <c r="AB244" s="35">
        <f t="shared" si="34"/>
        <v>48147</v>
      </c>
      <c r="AC244" s="25" t="s">
        <v>1318</v>
      </c>
      <c r="AD244" s="25" t="s">
        <v>1319</v>
      </c>
      <c r="AE244" s="25" t="s">
        <v>1320</v>
      </c>
      <c r="AF244" s="25" t="s">
        <v>1137</v>
      </c>
      <c r="AG244" s="25" t="s">
        <v>216</v>
      </c>
      <c r="AH244" s="25">
        <v>83616</v>
      </c>
      <c r="AI244" s="37"/>
      <c r="AJ244" s="25" t="s">
        <v>1321</v>
      </c>
      <c r="AL244" s="24">
        <f t="shared" si="37"/>
        <v>24</v>
      </c>
      <c r="AO244" s="25">
        <v>18</v>
      </c>
      <c r="AP244" s="25">
        <v>5</v>
      </c>
      <c r="AV244" s="25">
        <v>1</v>
      </c>
      <c r="BJ244" s="40">
        <v>1664169</v>
      </c>
      <c r="BK244" s="40">
        <f>VLOOKUP(M244,[1]EconBenMult!$B$12:$D$14,2,TRUE)*(BJ244/1000000)</f>
        <v>20.01995307</v>
      </c>
      <c r="BL244" s="31">
        <f>VLOOKUP(M244,[1]EconBenMult!$B$12:$D$14,3,TRUE)*(BJ244/1000000)</f>
        <v>1163634.97607565</v>
      </c>
    </row>
    <row r="245" spans="1:68" s="87" customFormat="1" ht="15" customHeight="1" x14ac:dyDescent="0.2">
      <c r="A245" s="34">
        <v>36516</v>
      </c>
      <c r="B245" s="24">
        <v>1999</v>
      </c>
      <c r="C245" s="24" t="s">
        <v>181</v>
      </c>
      <c r="D245" s="25" t="s">
        <v>1322</v>
      </c>
      <c r="E245" s="25" t="s">
        <v>1323</v>
      </c>
      <c r="F245" s="25" t="s">
        <v>1324</v>
      </c>
      <c r="G245" s="26">
        <v>59855</v>
      </c>
      <c r="H245" s="27"/>
      <c r="I245" s="27"/>
      <c r="J245" s="25" t="s">
        <v>441</v>
      </c>
      <c r="K245" s="28">
        <v>0.09</v>
      </c>
      <c r="L245" s="24" t="s">
        <v>188</v>
      </c>
      <c r="M245" s="25" t="s">
        <v>95</v>
      </c>
      <c r="N245" s="24" t="s">
        <v>347</v>
      </c>
      <c r="O245" s="29">
        <v>10</v>
      </c>
      <c r="P245" s="24">
        <v>1</v>
      </c>
      <c r="Q245" s="31">
        <v>499990</v>
      </c>
      <c r="R245" s="31"/>
      <c r="S245" s="31"/>
      <c r="T245" s="31"/>
      <c r="U245" s="32"/>
      <c r="V245" s="33"/>
      <c r="W245" s="34">
        <v>36861</v>
      </c>
      <c r="X245" s="34"/>
      <c r="Y245" s="34">
        <f t="shared" si="35"/>
        <v>36861</v>
      </c>
      <c r="Z245" s="35">
        <f t="shared" si="36"/>
        <v>41974</v>
      </c>
      <c r="AA245" s="36">
        <v>30</v>
      </c>
      <c r="AB245" s="35">
        <f t="shared" si="34"/>
        <v>52932</v>
      </c>
      <c r="AC245" s="25" t="s">
        <v>1325</v>
      </c>
      <c r="AD245" s="25" t="s">
        <v>1040</v>
      </c>
      <c r="AE245" s="25" t="s">
        <v>1041</v>
      </c>
      <c r="AF245" s="25" t="s">
        <v>1042</v>
      </c>
      <c r="AG245" s="25" t="s">
        <v>67</v>
      </c>
      <c r="AH245" s="25">
        <v>59855</v>
      </c>
      <c r="AI245" s="37"/>
      <c r="AJ245" s="25" t="s">
        <v>1326</v>
      </c>
      <c r="AK245" s="42"/>
      <c r="AL245" s="24">
        <f t="shared" si="37"/>
        <v>10</v>
      </c>
      <c r="AM245" s="25"/>
      <c r="AN245" s="25"/>
      <c r="AO245" s="25">
        <v>10</v>
      </c>
      <c r="AP245" s="25"/>
      <c r="AQ245" s="25"/>
      <c r="AR245" s="25"/>
      <c r="AS245" s="25"/>
      <c r="AT245" s="25"/>
      <c r="AU245" s="25"/>
      <c r="AV245" s="25"/>
      <c r="AW245" s="86"/>
      <c r="AX245" s="86"/>
      <c r="AY245" s="86"/>
      <c r="AZ245" s="86"/>
      <c r="BA245" s="86"/>
      <c r="BB245" s="86"/>
      <c r="BC245" s="86"/>
      <c r="BD245" s="86"/>
      <c r="BE245" s="86"/>
      <c r="BJ245" s="40">
        <v>582380</v>
      </c>
      <c r="BK245" s="40">
        <f>VLOOKUP(M245,[1]EconBenMult!$B$12:$D$14,2,TRUE)*(BJ245/1000000)</f>
        <v>7.0060313999999995</v>
      </c>
      <c r="BL245" s="31">
        <f>VLOOKUP(M245,[1]EconBenMult!$B$12:$D$14,3,TRUE)*(BJ245/1000000)</f>
        <v>407216.89766299998</v>
      </c>
      <c r="BM245" s="40"/>
      <c r="BN245" s="40"/>
      <c r="BO245" s="40"/>
      <c r="BP245" s="40"/>
    </row>
    <row r="246" spans="1:68" ht="15" customHeight="1" x14ac:dyDescent="0.2">
      <c r="A246" s="34">
        <v>36516</v>
      </c>
      <c r="B246" s="24">
        <v>1999</v>
      </c>
      <c r="C246" s="24" t="s">
        <v>181</v>
      </c>
      <c r="D246" s="25" t="s">
        <v>1327</v>
      </c>
      <c r="E246" s="25" t="s">
        <v>1328</v>
      </c>
      <c r="F246" s="25" t="s">
        <v>316</v>
      </c>
      <c r="G246" s="26">
        <v>59047</v>
      </c>
      <c r="J246" s="25" t="s">
        <v>317</v>
      </c>
      <c r="K246" s="28">
        <v>0.09</v>
      </c>
      <c r="L246" s="24" t="s">
        <v>147</v>
      </c>
      <c r="M246" s="25" t="s">
        <v>95</v>
      </c>
      <c r="N246" s="24" t="s">
        <v>62</v>
      </c>
      <c r="O246" s="29">
        <v>18</v>
      </c>
      <c r="P246" s="24">
        <v>2</v>
      </c>
      <c r="Q246" s="31">
        <v>390000</v>
      </c>
      <c r="R246" s="31"/>
      <c r="S246" s="31"/>
      <c r="T246" s="31"/>
      <c r="W246" s="34">
        <v>36598</v>
      </c>
      <c r="Y246" s="34">
        <f t="shared" si="35"/>
        <v>36598</v>
      </c>
      <c r="Z246" s="35">
        <f t="shared" si="36"/>
        <v>41711</v>
      </c>
      <c r="AA246" s="36">
        <v>16</v>
      </c>
      <c r="AB246" s="35">
        <f t="shared" si="34"/>
        <v>47555</v>
      </c>
      <c r="AC246" s="25" t="s">
        <v>1329</v>
      </c>
      <c r="AD246" s="25" t="s">
        <v>1330</v>
      </c>
      <c r="AE246" s="25" t="s">
        <v>1331</v>
      </c>
      <c r="AF246" s="25" t="s">
        <v>1332</v>
      </c>
      <c r="AG246" s="25" t="s">
        <v>1333</v>
      </c>
      <c r="AH246" s="25">
        <v>85801</v>
      </c>
      <c r="AI246" s="37"/>
      <c r="AJ246" s="25" t="s">
        <v>1334</v>
      </c>
      <c r="AL246" s="24">
        <f t="shared" si="37"/>
        <v>18</v>
      </c>
      <c r="AO246" s="25">
        <v>2</v>
      </c>
      <c r="AP246" s="25">
        <v>12</v>
      </c>
      <c r="AQ246" s="25">
        <v>4</v>
      </c>
      <c r="BJ246" s="40">
        <v>1341060</v>
      </c>
      <c r="BK246" s="40">
        <f>VLOOKUP(M246,[1]EconBenMult!$B$12:$D$14,2,TRUE)*(BJ246/1000000)</f>
        <v>16.132951799999997</v>
      </c>
      <c r="BL246" s="31">
        <f>VLOOKUP(M246,[1]EconBenMult!$B$12:$D$14,3,TRUE)*(BJ246/1000000)</f>
        <v>937707.8415809999</v>
      </c>
    </row>
    <row r="247" spans="1:68" ht="15" customHeight="1" x14ac:dyDescent="0.2">
      <c r="A247" s="34">
        <v>36151</v>
      </c>
      <c r="B247" s="24">
        <v>1998</v>
      </c>
      <c r="C247" s="24" t="s">
        <v>181</v>
      </c>
      <c r="D247" s="25" t="s">
        <v>1335</v>
      </c>
      <c r="E247" s="25" t="s">
        <v>1336</v>
      </c>
      <c r="F247" s="25" t="s">
        <v>113</v>
      </c>
      <c r="G247" s="26">
        <v>59103</v>
      </c>
      <c r="J247" s="25" t="s">
        <v>114</v>
      </c>
      <c r="K247" s="28">
        <v>0.09</v>
      </c>
      <c r="L247" s="24" t="s">
        <v>147</v>
      </c>
      <c r="M247" s="25" t="s">
        <v>95</v>
      </c>
      <c r="N247" s="24" t="s">
        <v>347</v>
      </c>
      <c r="O247" s="29">
        <v>30</v>
      </c>
      <c r="P247" s="24">
        <v>1</v>
      </c>
      <c r="Q247" s="31">
        <v>1365300</v>
      </c>
      <c r="R247" s="31"/>
      <c r="S247" s="31"/>
      <c r="T247" s="31"/>
      <c r="W247" s="34">
        <v>36783</v>
      </c>
      <c r="Y247" s="34">
        <f t="shared" si="35"/>
        <v>36783</v>
      </c>
      <c r="Z247" s="35">
        <f t="shared" si="36"/>
        <v>41896</v>
      </c>
      <c r="AA247" s="36">
        <v>35</v>
      </c>
      <c r="AB247" s="35">
        <f t="shared" si="34"/>
        <v>54680</v>
      </c>
      <c r="AC247" s="25" t="s">
        <v>1337</v>
      </c>
      <c r="AD247" s="25" t="s">
        <v>1060</v>
      </c>
      <c r="AE247" s="25" t="s">
        <v>1082</v>
      </c>
      <c r="AF247" s="25" t="s">
        <v>745</v>
      </c>
      <c r="AG247" s="25" t="s">
        <v>67</v>
      </c>
      <c r="AH247" s="25">
        <v>59803</v>
      </c>
      <c r="AI247" s="37"/>
      <c r="AJ247" s="25" t="s">
        <v>1338</v>
      </c>
      <c r="AL247" s="24">
        <v>30</v>
      </c>
      <c r="AO247" s="25">
        <v>15</v>
      </c>
      <c r="AP247" s="25">
        <v>15</v>
      </c>
      <c r="BJ247" s="40">
        <v>1927233</v>
      </c>
      <c r="BK247" s="40">
        <f>VLOOKUP(M247,[1]EconBenMult!$B$12:$D$14,2,TRUE)*(BJ247/1000000)</f>
        <v>23.184612989999998</v>
      </c>
      <c r="BL247" s="31">
        <f>VLOOKUP(M247,[1]EconBenMult!$B$12:$D$14,3,TRUE)*(BJ247/1000000)</f>
        <v>1347576.9142720499</v>
      </c>
    </row>
    <row r="248" spans="1:68" ht="15" customHeight="1" x14ac:dyDescent="0.2">
      <c r="A248" s="34">
        <v>36151</v>
      </c>
      <c r="B248" s="24">
        <v>1998</v>
      </c>
      <c r="C248" s="24" t="s">
        <v>181</v>
      </c>
      <c r="D248" s="25" t="s">
        <v>1339</v>
      </c>
      <c r="E248" s="25" t="s">
        <v>1340</v>
      </c>
      <c r="F248" s="25" t="s">
        <v>1341</v>
      </c>
      <c r="G248" s="26">
        <v>59068</v>
      </c>
      <c r="J248" s="25" t="s">
        <v>232</v>
      </c>
      <c r="K248" s="28">
        <v>0.09</v>
      </c>
      <c r="L248" s="24" t="s">
        <v>147</v>
      </c>
      <c r="M248" s="25" t="s">
        <v>95</v>
      </c>
      <c r="N248" s="24" t="s">
        <v>62</v>
      </c>
      <c r="O248" s="29">
        <v>32</v>
      </c>
      <c r="P248" s="24">
        <v>3</v>
      </c>
      <c r="Q248" s="31">
        <v>1785200</v>
      </c>
      <c r="R248" s="31"/>
      <c r="S248" s="31"/>
      <c r="T248" s="31"/>
      <c r="W248" s="34">
        <v>36342</v>
      </c>
      <c r="Y248" s="34">
        <f t="shared" si="35"/>
        <v>36342</v>
      </c>
      <c r="Z248" s="35">
        <f t="shared" si="36"/>
        <v>41456</v>
      </c>
      <c r="AA248" s="36">
        <v>16</v>
      </c>
      <c r="AB248" s="35">
        <f t="shared" si="34"/>
        <v>47300</v>
      </c>
      <c r="AC248" s="25" t="s">
        <v>1342</v>
      </c>
      <c r="AD248" s="25" t="s">
        <v>1343</v>
      </c>
      <c r="AE248" s="25" t="s">
        <v>1344</v>
      </c>
      <c r="AF248" s="25" t="s">
        <v>1345</v>
      </c>
      <c r="AG248" s="25" t="s">
        <v>89</v>
      </c>
      <c r="AH248" s="25">
        <v>90748</v>
      </c>
      <c r="AI248" s="37"/>
      <c r="AJ248" s="25" t="s">
        <v>1346</v>
      </c>
      <c r="AL248" s="24">
        <v>32</v>
      </c>
      <c r="AO248" s="25">
        <v>16</v>
      </c>
      <c r="AP248" s="25">
        <v>16</v>
      </c>
      <c r="BJ248" s="40">
        <v>2135786</v>
      </c>
      <c r="BK248" s="40">
        <f>VLOOKUP(M248,[1]EconBenMult!$B$12:$D$14,2,TRUE)*(BJ248/1000000)</f>
        <v>25.693505579999997</v>
      </c>
      <c r="BL248" s="31">
        <f>VLOOKUP(M248,[1]EconBenMult!$B$12:$D$14,3,TRUE)*(BJ248/1000000)</f>
        <v>1493403.1886260998</v>
      </c>
    </row>
    <row r="249" spans="1:68" s="87" customFormat="1" ht="15" customHeight="1" x14ac:dyDescent="0.2">
      <c r="A249" s="34">
        <v>36151</v>
      </c>
      <c r="B249" s="24">
        <v>1998</v>
      </c>
      <c r="C249" s="24" t="s">
        <v>181</v>
      </c>
      <c r="D249" s="25" t="s">
        <v>1347</v>
      </c>
      <c r="E249" s="25" t="s">
        <v>1348</v>
      </c>
      <c r="F249" s="25" t="s">
        <v>66</v>
      </c>
      <c r="G249" s="26">
        <v>59901</v>
      </c>
      <c r="H249" s="27"/>
      <c r="I249" s="27"/>
      <c r="J249" s="25" t="s">
        <v>59</v>
      </c>
      <c r="K249" s="28">
        <v>0.09</v>
      </c>
      <c r="L249" s="24" t="s">
        <v>147</v>
      </c>
      <c r="M249" s="25" t="s">
        <v>95</v>
      </c>
      <c r="N249" s="24" t="s">
        <v>347</v>
      </c>
      <c r="O249" s="29">
        <v>24</v>
      </c>
      <c r="P249" s="24">
        <v>1</v>
      </c>
      <c r="Q249" s="31">
        <v>442840</v>
      </c>
      <c r="R249" s="31"/>
      <c r="S249" s="31"/>
      <c r="T249" s="31"/>
      <c r="U249" s="32"/>
      <c r="V249" s="33"/>
      <c r="W249" s="34">
        <v>36298</v>
      </c>
      <c r="X249" s="34"/>
      <c r="Y249" s="34">
        <f t="shared" si="35"/>
        <v>36298</v>
      </c>
      <c r="Z249" s="35">
        <f t="shared" si="36"/>
        <v>41412</v>
      </c>
      <c r="AA249" s="36">
        <v>35</v>
      </c>
      <c r="AB249" s="35">
        <f t="shared" si="34"/>
        <v>54196</v>
      </c>
      <c r="AC249" s="25" t="s">
        <v>1349</v>
      </c>
      <c r="AD249" s="25" t="s">
        <v>1350</v>
      </c>
      <c r="AE249" s="25" t="s">
        <v>1351</v>
      </c>
      <c r="AF249" s="25" t="s">
        <v>1352</v>
      </c>
      <c r="AG249" s="25" t="s">
        <v>1353</v>
      </c>
      <c r="AH249" s="25" t="s">
        <v>1354</v>
      </c>
      <c r="AI249" s="37"/>
      <c r="AJ249" s="25" t="s">
        <v>1355</v>
      </c>
      <c r="AK249" s="42"/>
      <c r="AL249" s="24">
        <v>24</v>
      </c>
      <c r="AM249" s="25"/>
      <c r="AN249" s="25"/>
      <c r="AO249" s="25">
        <v>24</v>
      </c>
      <c r="AP249" s="25"/>
      <c r="AQ249" s="25"/>
      <c r="AR249" s="25"/>
      <c r="AS249" s="25"/>
      <c r="AT249" s="25"/>
      <c r="AU249" s="25"/>
      <c r="AV249" s="25"/>
      <c r="AW249" s="86"/>
      <c r="AX249" s="86"/>
      <c r="AY249" s="86"/>
      <c r="AZ249" s="86"/>
      <c r="BA249" s="86"/>
      <c r="BB249" s="86"/>
      <c r="BC249" s="86"/>
      <c r="BD249" s="86"/>
      <c r="BE249" s="86"/>
      <c r="BJ249" s="40">
        <v>1323346</v>
      </c>
      <c r="BK249" s="40">
        <f>VLOOKUP(M249,[1]EconBenMult!$B$12:$D$14,2,TRUE)*(BJ249/1000000)</f>
        <v>15.919852379999998</v>
      </c>
      <c r="BL249" s="31">
        <f>VLOOKUP(M249,[1]EconBenMult!$B$12:$D$14,3,TRUE)*(BJ249/1000000)</f>
        <v>925321.70173209987</v>
      </c>
      <c r="BM249" s="40"/>
      <c r="BN249" s="40"/>
      <c r="BO249" s="40"/>
      <c r="BP249" s="40"/>
    </row>
    <row r="250" spans="1:68" ht="15" customHeight="1" x14ac:dyDescent="0.2">
      <c r="A250" s="34">
        <v>36151</v>
      </c>
      <c r="B250" s="24">
        <v>1998</v>
      </c>
      <c r="C250" s="24" t="s">
        <v>181</v>
      </c>
      <c r="D250" s="25" t="s">
        <v>1356</v>
      </c>
      <c r="E250" s="25" t="s">
        <v>1357</v>
      </c>
      <c r="F250" s="25" t="s">
        <v>103</v>
      </c>
      <c r="G250" s="26">
        <v>59601</v>
      </c>
      <c r="J250" s="44" t="s">
        <v>104</v>
      </c>
      <c r="K250" s="28">
        <v>0.09</v>
      </c>
      <c r="L250" s="24" t="s">
        <v>74</v>
      </c>
      <c r="M250" s="25" t="s">
        <v>95</v>
      </c>
      <c r="N250" s="24" t="s">
        <v>62</v>
      </c>
      <c r="O250" s="29">
        <v>16</v>
      </c>
      <c r="P250" s="24">
        <v>2</v>
      </c>
      <c r="Q250" s="31">
        <v>897100</v>
      </c>
      <c r="R250" s="31"/>
      <c r="S250" s="31"/>
      <c r="T250" s="31"/>
      <c r="W250" s="34">
        <v>36279</v>
      </c>
      <c r="Y250" s="34">
        <f t="shared" si="35"/>
        <v>36279</v>
      </c>
      <c r="Z250" s="35">
        <f t="shared" si="36"/>
        <v>41393</v>
      </c>
      <c r="AA250" s="36">
        <v>16</v>
      </c>
      <c r="AB250" s="35">
        <f t="shared" si="34"/>
        <v>47237</v>
      </c>
      <c r="AC250" s="25" t="s">
        <v>1358</v>
      </c>
      <c r="AD250" s="25" t="s">
        <v>1020</v>
      </c>
      <c r="AE250" s="25" t="s">
        <v>1359</v>
      </c>
      <c r="AF250" s="25" t="s">
        <v>666</v>
      </c>
      <c r="AG250" s="25" t="s">
        <v>67</v>
      </c>
      <c r="AH250" s="25">
        <v>59601</v>
      </c>
      <c r="AI250" s="37"/>
      <c r="AJ250" s="25" t="s">
        <v>1360</v>
      </c>
      <c r="AL250" s="24">
        <v>16</v>
      </c>
      <c r="AO250" s="25">
        <v>6</v>
      </c>
      <c r="AP250" s="25">
        <v>10</v>
      </c>
      <c r="BJ250" s="40">
        <v>1252726</v>
      </c>
      <c r="BK250" s="40">
        <f>VLOOKUP(M250,[1]EconBenMult!$B$12:$D$14,2,TRUE)*(BJ250/1000000)</f>
        <v>15.07029378</v>
      </c>
      <c r="BL250" s="31">
        <f>VLOOKUP(M250,[1]EconBenMult!$B$12:$D$14,3,TRUE)*(BJ250/1000000)</f>
        <v>875942.16034509998</v>
      </c>
    </row>
    <row r="251" spans="1:68" ht="15" customHeight="1" x14ac:dyDescent="0.2">
      <c r="A251" s="34">
        <v>36151</v>
      </c>
      <c r="B251" s="24">
        <v>1998</v>
      </c>
      <c r="C251" s="24" t="s">
        <v>181</v>
      </c>
      <c r="D251" s="25" t="s">
        <v>1361</v>
      </c>
      <c r="E251" s="25" t="s">
        <v>1362</v>
      </c>
      <c r="F251" s="25" t="s">
        <v>72</v>
      </c>
      <c r="G251" s="26">
        <v>59840</v>
      </c>
      <c r="J251" s="25" t="s">
        <v>73</v>
      </c>
      <c r="K251" s="28">
        <v>0.04</v>
      </c>
      <c r="L251" s="24" t="s">
        <v>74</v>
      </c>
      <c r="M251" s="25" t="s">
        <v>61</v>
      </c>
      <c r="N251" s="24" t="s">
        <v>347</v>
      </c>
      <c r="O251" s="29">
        <v>24</v>
      </c>
      <c r="P251" s="24">
        <v>1</v>
      </c>
      <c r="Q251" s="31">
        <v>292260</v>
      </c>
      <c r="R251" s="31"/>
      <c r="S251" s="31"/>
      <c r="T251" s="31"/>
      <c r="W251" s="34">
        <v>36831</v>
      </c>
      <c r="Y251" s="34">
        <f t="shared" si="35"/>
        <v>36831</v>
      </c>
      <c r="Z251" s="35">
        <f t="shared" si="36"/>
        <v>41944</v>
      </c>
      <c r="AA251" s="36">
        <v>36</v>
      </c>
      <c r="AB251" s="35">
        <f t="shared" si="34"/>
        <v>55093</v>
      </c>
      <c r="AC251" s="25" t="s">
        <v>1363</v>
      </c>
      <c r="AD251" s="25" t="s">
        <v>1364</v>
      </c>
      <c r="AE251" s="25" t="s">
        <v>744</v>
      </c>
      <c r="AF251" s="25" t="s">
        <v>745</v>
      </c>
      <c r="AG251" s="25" t="s">
        <v>67</v>
      </c>
      <c r="AH251" s="25">
        <v>59801</v>
      </c>
      <c r="AI251" s="37"/>
      <c r="AJ251" s="25" t="s">
        <v>1365</v>
      </c>
      <c r="AL251" s="24">
        <v>24</v>
      </c>
      <c r="AO251" s="25">
        <v>6</v>
      </c>
      <c r="AP251" s="25">
        <v>17</v>
      </c>
      <c r="BJ251" s="40">
        <v>853653</v>
      </c>
      <c r="BK251" s="40">
        <f>VLOOKUP(M251,[1]EconBenMult!$B$12:$D$14,2,TRUE)*(BJ251/1000000)</f>
        <v>6.6243472799999994</v>
      </c>
      <c r="BL251" s="31">
        <f>VLOOKUP(M251,[1]EconBenMult!$B$12:$D$14,3,TRUE)*(BJ251/1000000)</f>
        <v>365558.15103011997</v>
      </c>
    </row>
    <row r="252" spans="1:68" s="87" customFormat="1" ht="15" customHeight="1" x14ac:dyDescent="0.2">
      <c r="A252" s="34">
        <v>36151</v>
      </c>
      <c r="B252" s="24">
        <v>1998</v>
      </c>
      <c r="C252" s="24" t="s">
        <v>181</v>
      </c>
      <c r="D252" s="25" t="s">
        <v>1366</v>
      </c>
      <c r="E252" s="25" t="s">
        <v>1171</v>
      </c>
      <c r="F252" s="25" t="s">
        <v>210</v>
      </c>
      <c r="G252" s="26">
        <v>59701</v>
      </c>
      <c r="H252" s="27"/>
      <c r="I252" s="27"/>
      <c r="J252" s="25" t="s">
        <v>211</v>
      </c>
      <c r="K252" s="28">
        <v>0.09</v>
      </c>
      <c r="L252" s="24" t="s">
        <v>147</v>
      </c>
      <c r="M252" s="25" t="s">
        <v>95</v>
      </c>
      <c r="N252" s="24" t="s">
        <v>62</v>
      </c>
      <c r="O252" s="29">
        <v>36</v>
      </c>
      <c r="P252" s="24">
        <v>6</v>
      </c>
      <c r="Q252" s="31">
        <v>1817830</v>
      </c>
      <c r="R252" s="31"/>
      <c r="S252" s="31"/>
      <c r="T252" s="31"/>
      <c r="U252" s="32"/>
      <c r="V252" s="33"/>
      <c r="W252" s="34">
        <v>36305</v>
      </c>
      <c r="X252" s="34"/>
      <c r="Y252" s="34">
        <f t="shared" si="35"/>
        <v>36305</v>
      </c>
      <c r="Z252" s="35">
        <f t="shared" si="36"/>
        <v>41419</v>
      </c>
      <c r="AA252" s="36">
        <v>25</v>
      </c>
      <c r="AB252" s="35">
        <f t="shared" si="34"/>
        <v>50550</v>
      </c>
      <c r="AC252" s="25" t="s">
        <v>1367</v>
      </c>
      <c r="AD252" s="25" t="s">
        <v>1173</v>
      </c>
      <c r="AE252" s="25" t="s">
        <v>1174</v>
      </c>
      <c r="AF252" s="25" t="s">
        <v>1175</v>
      </c>
      <c r="AG252" s="25" t="s">
        <v>89</v>
      </c>
      <c r="AH252" s="25">
        <v>92660</v>
      </c>
      <c r="AI252" s="37"/>
      <c r="AJ252" s="25" t="s">
        <v>1176</v>
      </c>
      <c r="AK252" s="42"/>
      <c r="AL252" s="24">
        <v>36</v>
      </c>
      <c r="AM252" s="25"/>
      <c r="AN252" s="25"/>
      <c r="AO252" s="25"/>
      <c r="AP252" s="25">
        <v>27</v>
      </c>
      <c r="AQ252" s="25">
        <v>8</v>
      </c>
      <c r="AR252" s="25"/>
      <c r="AS252" s="25"/>
      <c r="AT252" s="25"/>
      <c r="AU252" s="25"/>
      <c r="AV252" s="25"/>
      <c r="AW252" s="86"/>
      <c r="AX252" s="86"/>
      <c r="AY252" s="86"/>
      <c r="AZ252" s="86"/>
      <c r="BA252" s="86"/>
      <c r="BB252" s="86"/>
      <c r="BC252" s="86"/>
      <c r="BD252" s="86"/>
      <c r="BE252" s="86"/>
      <c r="BJ252" s="40">
        <v>2505046</v>
      </c>
      <c r="BK252" s="40">
        <f>VLOOKUP(M252,[1]EconBenMult!$B$12:$D$14,2,TRUE)*(BJ252/1000000)</f>
        <v>30.135703379999999</v>
      </c>
      <c r="BL252" s="31">
        <f>VLOOKUP(M252,[1]EconBenMult!$B$12:$D$14,3,TRUE)*(BJ252/1000000)</f>
        <v>1751600.4337770999</v>
      </c>
      <c r="BM252" s="40"/>
      <c r="BN252" s="40"/>
      <c r="BO252" s="40"/>
      <c r="BP252" s="40"/>
    </row>
    <row r="253" spans="1:68" ht="15" customHeight="1" x14ac:dyDescent="0.2">
      <c r="A253" s="34">
        <v>36151</v>
      </c>
      <c r="B253" s="24">
        <v>1998</v>
      </c>
      <c r="C253" s="24" t="s">
        <v>181</v>
      </c>
      <c r="D253" s="25" t="s">
        <v>1368</v>
      </c>
      <c r="E253" s="25" t="s">
        <v>183</v>
      </c>
      <c r="F253" s="25" t="s">
        <v>93</v>
      </c>
      <c r="G253" s="26">
        <v>59715</v>
      </c>
      <c r="J253" s="25" t="s">
        <v>94</v>
      </c>
      <c r="K253" s="28">
        <v>0.09</v>
      </c>
      <c r="L253" s="24" t="s">
        <v>147</v>
      </c>
      <c r="M253" s="25" t="s">
        <v>95</v>
      </c>
      <c r="N253" s="24" t="s">
        <v>62</v>
      </c>
      <c r="O253" s="29">
        <v>34</v>
      </c>
      <c r="P253" s="24">
        <v>5</v>
      </c>
      <c r="Q253" s="31">
        <v>2411180</v>
      </c>
      <c r="R253" s="31"/>
      <c r="S253" s="31"/>
      <c r="T253" s="31"/>
      <c r="W253" s="34">
        <v>36329</v>
      </c>
      <c r="Y253" s="34">
        <f t="shared" si="35"/>
        <v>36329</v>
      </c>
      <c r="Z253" s="35">
        <f t="shared" si="36"/>
        <v>41443</v>
      </c>
      <c r="AA253" s="36">
        <v>16</v>
      </c>
      <c r="AB253" s="35">
        <f t="shared" si="34"/>
        <v>47287</v>
      </c>
      <c r="AC253" s="25" t="s">
        <v>1050</v>
      </c>
      <c r="AD253" s="25" t="s">
        <v>1051</v>
      </c>
      <c r="AE253" s="25" t="s">
        <v>1143</v>
      </c>
      <c r="AF253" s="25" t="s">
        <v>986</v>
      </c>
      <c r="AG253" s="25" t="s">
        <v>67</v>
      </c>
      <c r="AH253" s="25">
        <v>59718</v>
      </c>
      <c r="AI253" s="37"/>
      <c r="AJ253" s="25" t="s">
        <v>1369</v>
      </c>
      <c r="AL253" s="24">
        <v>34</v>
      </c>
      <c r="AO253" s="25">
        <v>24</v>
      </c>
      <c r="AQ253" s="25">
        <v>8</v>
      </c>
      <c r="AR253" s="25">
        <v>2</v>
      </c>
      <c r="BJ253" s="40">
        <v>2564846</v>
      </c>
      <c r="BK253" s="40">
        <f>VLOOKUP(M253,[1]EconBenMult!$B$12:$D$14,2,TRUE)*(BJ253/1000000)</f>
        <v>30.85509738</v>
      </c>
      <c r="BL253" s="31">
        <f>VLOOKUP(M253,[1]EconBenMult!$B$12:$D$14,3,TRUE)*(BJ253/1000000)</f>
        <v>1793414.3190071001</v>
      </c>
    </row>
    <row r="254" spans="1:68" s="87" customFormat="1" ht="15" customHeight="1" x14ac:dyDescent="0.2">
      <c r="A254" s="89">
        <v>36151</v>
      </c>
      <c r="B254" s="86">
        <v>1998</v>
      </c>
      <c r="C254" s="86" t="s">
        <v>1370</v>
      </c>
      <c r="D254" s="87" t="s">
        <v>1371</v>
      </c>
      <c r="E254" s="87" t="s">
        <v>280</v>
      </c>
      <c r="F254" s="87" t="s">
        <v>93</v>
      </c>
      <c r="G254" s="90">
        <v>59715</v>
      </c>
      <c r="H254" s="91"/>
      <c r="I254" s="91"/>
      <c r="J254" s="87" t="s">
        <v>94</v>
      </c>
      <c r="K254" s="93">
        <v>0.09</v>
      </c>
      <c r="L254" s="86" t="s">
        <v>147</v>
      </c>
      <c r="M254" s="87" t="s">
        <v>95</v>
      </c>
      <c r="N254" s="86" t="s">
        <v>62</v>
      </c>
      <c r="O254" s="94">
        <v>36</v>
      </c>
      <c r="P254" s="86">
        <v>6</v>
      </c>
      <c r="Q254" s="98">
        <v>2363170</v>
      </c>
      <c r="R254" s="98"/>
      <c r="S254" s="98"/>
      <c r="T254" s="98"/>
      <c r="U254" s="96"/>
      <c r="V254" s="97"/>
      <c r="W254" s="89">
        <v>36539</v>
      </c>
      <c r="X254" s="89"/>
      <c r="Y254" s="34">
        <f t="shared" si="35"/>
        <v>36539</v>
      </c>
      <c r="Z254" s="35">
        <f t="shared" si="36"/>
        <v>41653</v>
      </c>
      <c r="AA254" s="99">
        <v>25</v>
      </c>
      <c r="AB254" s="136">
        <f t="shared" ref="AB254:AB265" si="38">DATE(YEAR(Z254)+AA254,MONTH(Z254),DAY(Z254))</f>
        <v>50784</v>
      </c>
      <c r="AC254" s="87" t="s">
        <v>1188</v>
      </c>
      <c r="AD254" s="87" t="s">
        <v>1372</v>
      </c>
      <c r="AE254" s="87" t="s">
        <v>1174</v>
      </c>
      <c r="AF254" s="87" t="s">
        <v>1175</v>
      </c>
      <c r="AG254" s="87" t="s">
        <v>89</v>
      </c>
      <c r="AH254" s="87">
        <v>92660</v>
      </c>
      <c r="AI254" s="37"/>
      <c r="AJ254" s="87" t="s">
        <v>1373</v>
      </c>
      <c r="AK254" s="100"/>
      <c r="AL254" s="86">
        <v>36</v>
      </c>
      <c r="AP254" s="87">
        <v>27</v>
      </c>
      <c r="AQ254" s="87">
        <v>8</v>
      </c>
      <c r="AV254" s="87">
        <v>1</v>
      </c>
      <c r="AW254" s="86"/>
      <c r="AX254" s="86"/>
      <c r="AY254" s="86"/>
      <c r="AZ254" s="86"/>
      <c r="BA254" s="86"/>
      <c r="BB254" s="86"/>
      <c r="BC254" s="86"/>
      <c r="BD254" s="86"/>
      <c r="BE254" s="86"/>
      <c r="BJ254" s="40">
        <v>2486154</v>
      </c>
      <c r="BK254" s="40">
        <f>VLOOKUP(M254,[1]EconBenMult!$B$12:$D$14,2,TRUE)*(BJ254/1000000)</f>
        <v>29.908432619999999</v>
      </c>
      <c r="BL254" s="31">
        <f>VLOOKUP(M254,[1]EconBenMult!$B$12:$D$14,3,TRUE)*(BJ254/1000000)</f>
        <v>1738390.6023428999</v>
      </c>
      <c r="BM254" s="40"/>
      <c r="BN254" s="40"/>
      <c r="BO254" s="40"/>
      <c r="BP254" s="40"/>
    </row>
    <row r="255" spans="1:68" ht="15" customHeight="1" x14ac:dyDescent="0.2">
      <c r="A255" s="34">
        <v>36151</v>
      </c>
      <c r="B255" s="24">
        <v>1998</v>
      </c>
      <c r="C255" s="24" t="s">
        <v>181</v>
      </c>
      <c r="D255" s="25" t="s">
        <v>1374</v>
      </c>
      <c r="E255" s="25" t="s">
        <v>1375</v>
      </c>
      <c r="F255" s="25" t="s">
        <v>113</v>
      </c>
      <c r="G255" s="26">
        <v>59101</v>
      </c>
      <c r="J255" s="25" t="s">
        <v>114</v>
      </c>
      <c r="K255" s="28">
        <v>0.09</v>
      </c>
      <c r="L255" s="24" t="s">
        <v>147</v>
      </c>
      <c r="M255" s="25" t="s">
        <v>95</v>
      </c>
      <c r="N255" s="24" t="s">
        <v>62</v>
      </c>
      <c r="O255" s="29">
        <v>2</v>
      </c>
      <c r="P255" s="24">
        <v>1</v>
      </c>
      <c r="Q255" s="31">
        <v>134720</v>
      </c>
      <c r="R255" s="31"/>
      <c r="S255" s="31"/>
      <c r="T255" s="31"/>
      <c r="W255" s="34">
        <v>36076</v>
      </c>
      <c r="Y255" s="34">
        <f t="shared" si="35"/>
        <v>36076</v>
      </c>
      <c r="Z255" s="35">
        <f t="shared" si="36"/>
        <v>41190</v>
      </c>
      <c r="AA255" s="36">
        <v>15</v>
      </c>
      <c r="AB255" s="35">
        <f t="shared" si="38"/>
        <v>46668</v>
      </c>
      <c r="AC255" s="25" t="s">
        <v>1376</v>
      </c>
      <c r="AE255" s="25" t="s">
        <v>1377</v>
      </c>
      <c r="AF255" s="25" t="s">
        <v>1378</v>
      </c>
      <c r="AG255" s="25" t="s">
        <v>67</v>
      </c>
      <c r="AH255" s="25">
        <v>59103</v>
      </c>
      <c r="AI255" s="37"/>
      <c r="AJ255" s="25" t="s">
        <v>1379</v>
      </c>
      <c r="AL255" s="24">
        <v>2</v>
      </c>
      <c r="AQ255" s="25">
        <v>2</v>
      </c>
      <c r="BJ255" s="40">
        <v>167880</v>
      </c>
      <c r="BK255" s="40">
        <f>VLOOKUP(M255,[1]EconBenMult!$B$12:$D$14,2,TRUE)*(BJ255/1000000)</f>
        <v>2.0195963999999997</v>
      </c>
      <c r="BL255" s="31">
        <f>VLOOKUP(M255,[1]EconBenMult!$B$12:$D$14,3,TRUE)*(BJ255/1000000)</f>
        <v>117386.539338</v>
      </c>
    </row>
    <row r="256" spans="1:68" s="122" customFormat="1" ht="15" customHeight="1" x14ac:dyDescent="0.2">
      <c r="A256" s="120">
        <v>36151</v>
      </c>
      <c r="B256" s="121">
        <v>1998</v>
      </c>
      <c r="C256" s="86" t="s">
        <v>1380</v>
      </c>
      <c r="D256" s="122" t="s">
        <v>1381</v>
      </c>
      <c r="E256" s="122" t="s">
        <v>1382</v>
      </c>
      <c r="F256" s="122" t="s">
        <v>93</v>
      </c>
      <c r="G256" s="123">
        <v>59715</v>
      </c>
      <c r="H256" s="124"/>
      <c r="I256" s="124"/>
      <c r="J256" s="122" t="s">
        <v>94</v>
      </c>
      <c r="K256" s="125">
        <v>0.09</v>
      </c>
      <c r="L256" s="121" t="s">
        <v>147</v>
      </c>
      <c r="M256" s="122" t="s">
        <v>95</v>
      </c>
      <c r="N256" s="121" t="s">
        <v>62</v>
      </c>
      <c r="O256" s="126">
        <v>48</v>
      </c>
      <c r="P256" s="121">
        <v>11</v>
      </c>
      <c r="Q256" s="130">
        <v>3738160</v>
      </c>
      <c r="R256" s="130"/>
      <c r="S256" s="130"/>
      <c r="T256" s="130"/>
      <c r="U256" s="128"/>
      <c r="V256" s="129"/>
      <c r="W256" s="120">
        <v>36770</v>
      </c>
      <c r="X256" s="120"/>
      <c r="Y256" s="34">
        <f t="shared" si="35"/>
        <v>36770</v>
      </c>
      <c r="Z256" s="35">
        <f t="shared" si="36"/>
        <v>41883</v>
      </c>
      <c r="AA256" s="132">
        <v>15</v>
      </c>
      <c r="AB256" s="131">
        <f t="shared" si="38"/>
        <v>47362</v>
      </c>
      <c r="AC256" s="122" t="s">
        <v>1383</v>
      </c>
      <c r="AD256" s="122" t="s">
        <v>1350</v>
      </c>
      <c r="AE256" s="122" t="s">
        <v>1351</v>
      </c>
      <c r="AF256" s="122" t="s">
        <v>1352</v>
      </c>
      <c r="AG256" s="122" t="s">
        <v>1353</v>
      </c>
      <c r="AH256" s="122">
        <v>54601</v>
      </c>
      <c r="AI256" s="37"/>
      <c r="AJ256" s="122" t="s">
        <v>1355</v>
      </c>
      <c r="AK256" s="134"/>
      <c r="AL256" s="121">
        <v>48</v>
      </c>
      <c r="AO256" s="122">
        <v>12</v>
      </c>
      <c r="AP256" s="122">
        <v>18</v>
      </c>
      <c r="AQ256" s="122">
        <v>18</v>
      </c>
      <c r="AW256" s="121"/>
      <c r="AX256" s="121"/>
      <c r="AY256" s="121"/>
      <c r="AZ256" s="121"/>
      <c r="BA256" s="121"/>
      <c r="BB256" s="121"/>
      <c r="BC256" s="121"/>
      <c r="BD256" s="121"/>
      <c r="BE256" s="121"/>
      <c r="BJ256" s="40">
        <v>3992687</v>
      </c>
      <c r="BK256" s="40">
        <f>VLOOKUP(M256,[1]EconBenMult!$B$12:$D$14,2,TRUE)*(BJ256/1000000)</f>
        <v>48.032024610000001</v>
      </c>
      <c r="BL256" s="31">
        <f>VLOOKUP(M256,[1]EconBenMult!$B$12:$D$14,3,TRUE)*(BJ256/1000000)</f>
        <v>2791801.9394199499</v>
      </c>
      <c r="BM256" s="40"/>
      <c r="BN256" s="40"/>
      <c r="BO256" s="40"/>
      <c r="BP256" s="40"/>
    </row>
    <row r="257" spans="1:68" s="62" customFormat="1" ht="15" customHeight="1" x14ac:dyDescent="0.2">
      <c r="A257" s="34">
        <v>36151</v>
      </c>
      <c r="B257" s="24">
        <v>1998</v>
      </c>
      <c r="C257" s="24" t="s">
        <v>181</v>
      </c>
      <c r="D257" s="25" t="s">
        <v>1384</v>
      </c>
      <c r="E257" s="25" t="s">
        <v>1385</v>
      </c>
      <c r="F257" s="25" t="s">
        <v>246</v>
      </c>
      <c r="G257" s="26">
        <v>59716</v>
      </c>
      <c r="H257" s="27"/>
      <c r="I257" s="27"/>
      <c r="J257" s="25" t="s">
        <v>1386</v>
      </c>
      <c r="K257" s="28">
        <v>0.09</v>
      </c>
      <c r="L257" s="24" t="s">
        <v>147</v>
      </c>
      <c r="M257" s="25" t="s">
        <v>95</v>
      </c>
      <c r="N257" s="24" t="s">
        <v>62</v>
      </c>
      <c r="O257" s="29">
        <v>24</v>
      </c>
      <c r="P257" s="24">
        <v>1</v>
      </c>
      <c r="Q257" s="31">
        <v>993190</v>
      </c>
      <c r="R257" s="31"/>
      <c r="S257" s="31"/>
      <c r="T257" s="31"/>
      <c r="U257" s="32"/>
      <c r="V257" s="33"/>
      <c r="W257" s="34">
        <v>36159</v>
      </c>
      <c r="X257" s="34"/>
      <c r="Y257" s="34">
        <f t="shared" si="35"/>
        <v>36159</v>
      </c>
      <c r="Z257" s="35">
        <f t="shared" si="36"/>
        <v>41273</v>
      </c>
      <c r="AA257" s="36">
        <v>16</v>
      </c>
      <c r="AB257" s="35">
        <f t="shared" si="38"/>
        <v>47117</v>
      </c>
      <c r="AC257" s="25" t="s">
        <v>1387</v>
      </c>
      <c r="AD257" s="25" t="s">
        <v>1051</v>
      </c>
      <c r="AE257" s="25" t="s">
        <v>1388</v>
      </c>
      <c r="AF257" s="25" t="s">
        <v>986</v>
      </c>
      <c r="AG257" s="25" t="s">
        <v>67</v>
      </c>
      <c r="AH257" s="25">
        <v>59718</v>
      </c>
      <c r="AI257" s="37"/>
      <c r="AJ257" s="25" t="s">
        <v>1369</v>
      </c>
      <c r="AK257" s="42"/>
      <c r="AL257" s="24">
        <v>24</v>
      </c>
      <c r="AM257" s="25">
        <v>24</v>
      </c>
      <c r="AN257" s="25"/>
      <c r="AO257" s="25"/>
      <c r="AP257" s="25"/>
      <c r="AQ257" s="25"/>
      <c r="AR257" s="25"/>
      <c r="AS257" s="25"/>
      <c r="AT257" s="25"/>
      <c r="AU257" s="25"/>
      <c r="AV257" s="25"/>
      <c r="AW257" s="60"/>
      <c r="AX257" s="60"/>
      <c r="AY257" s="60"/>
      <c r="AZ257" s="60"/>
      <c r="BA257" s="60"/>
      <c r="BB257" s="60"/>
      <c r="BC257" s="60"/>
      <c r="BD257" s="60"/>
      <c r="BE257" s="60"/>
      <c r="BJ257" s="40">
        <v>1139609</v>
      </c>
      <c r="BK257" s="40">
        <f>VLOOKUP(M257,[1]EconBenMult!$B$12:$D$14,2,TRUE)*(BJ257/1000000)</f>
        <v>13.709496270000001</v>
      </c>
      <c r="BL257" s="31">
        <f>VLOOKUP(M257,[1]EconBenMult!$B$12:$D$14,3,TRUE)*(BJ257/1000000)</f>
        <v>796847.49051965005</v>
      </c>
      <c r="BM257" s="40"/>
      <c r="BN257" s="40"/>
      <c r="BO257" s="40"/>
      <c r="BP257" s="40"/>
    </row>
    <row r="258" spans="1:68" s="87" customFormat="1" ht="15" customHeight="1" x14ac:dyDescent="0.2">
      <c r="A258" s="34">
        <v>35717</v>
      </c>
      <c r="B258" s="24">
        <v>1997</v>
      </c>
      <c r="C258" s="24" t="s">
        <v>181</v>
      </c>
      <c r="D258" s="25" t="s">
        <v>1389</v>
      </c>
      <c r="E258" s="25" t="s">
        <v>1390</v>
      </c>
      <c r="F258" s="25" t="s">
        <v>83</v>
      </c>
      <c r="G258" s="26">
        <v>59405</v>
      </c>
      <c r="H258" s="27"/>
      <c r="I258" s="27"/>
      <c r="J258" s="25" t="s">
        <v>84</v>
      </c>
      <c r="K258" s="28">
        <v>0.04</v>
      </c>
      <c r="L258" s="24" t="s">
        <v>147</v>
      </c>
      <c r="M258" s="25" t="s">
        <v>95</v>
      </c>
      <c r="N258" s="24" t="s">
        <v>62</v>
      </c>
      <c r="O258" s="29">
        <v>121</v>
      </c>
      <c r="P258" s="24">
        <v>10</v>
      </c>
      <c r="Q258" s="31">
        <v>2691170</v>
      </c>
      <c r="R258" s="31"/>
      <c r="S258" s="31"/>
      <c r="T258" s="31"/>
      <c r="U258" s="32"/>
      <c r="V258" s="33"/>
      <c r="W258" s="34">
        <v>36084</v>
      </c>
      <c r="X258" s="34"/>
      <c r="Y258" s="34">
        <f t="shared" si="35"/>
        <v>36084</v>
      </c>
      <c r="Z258" s="35">
        <f t="shared" si="36"/>
        <v>41198</v>
      </c>
      <c r="AA258" s="36">
        <v>15</v>
      </c>
      <c r="AB258" s="35">
        <f t="shared" si="38"/>
        <v>46676</v>
      </c>
      <c r="AC258" s="25" t="s">
        <v>1391</v>
      </c>
      <c r="AD258" s="25" t="s">
        <v>1392</v>
      </c>
      <c r="AE258" s="25" t="s">
        <v>1393</v>
      </c>
      <c r="AF258" s="25" t="s">
        <v>1394</v>
      </c>
      <c r="AG258" s="25" t="s">
        <v>131</v>
      </c>
      <c r="AH258" s="25">
        <v>98004</v>
      </c>
      <c r="AI258" s="37"/>
      <c r="AJ258" s="25" t="s">
        <v>1395</v>
      </c>
      <c r="AK258" s="42"/>
      <c r="AL258" s="24">
        <v>121</v>
      </c>
      <c r="AM258" s="25"/>
      <c r="AN258" s="25"/>
      <c r="AO258" s="25">
        <v>30</v>
      </c>
      <c r="AP258" s="25">
        <v>80</v>
      </c>
      <c r="AQ258" s="25">
        <v>11</v>
      </c>
      <c r="AR258" s="25"/>
      <c r="AS258" s="25"/>
      <c r="AT258" s="25"/>
      <c r="AU258" s="25"/>
      <c r="AV258" s="25">
        <v>1</v>
      </c>
      <c r="AW258" s="86"/>
      <c r="AX258" s="86"/>
      <c r="AY258" s="86"/>
      <c r="AZ258" s="86"/>
      <c r="BA258" s="86"/>
      <c r="BB258" s="86"/>
      <c r="BC258" s="86"/>
      <c r="BD258" s="86"/>
      <c r="BE258" s="86"/>
      <c r="BJ258" s="40">
        <v>7515000</v>
      </c>
      <c r="BK258" s="40">
        <f>VLOOKUP(M258,[1]EconBenMult!$B$12:$D$14,2,TRUE)*(BJ258/1000000)</f>
        <v>90.405449999999988</v>
      </c>
      <c r="BL258" s="31">
        <f>VLOOKUP(M258,[1]EconBenMult!$B$12:$D$14,3,TRUE)*(BJ258/1000000)</f>
        <v>5254704.8077499997</v>
      </c>
      <c r="BM258" s="40"/>
      <c r="BN258" s="40"/>
      <c r="BO258" s="40"/>
      <c r="BP258" s="40"/>
    </row>
    <row r="259" spans="1:68" ht="15" customHeight="1" x14ac:dyDescent="0.2">
      <c r="A259" s="34">
        <v>35699</v>
      </c>
      <c r="B259" s="24">
        <v>1997</v>
      </c>
      <c r="C259" s="24" t="s">
        <v>181</v>
      </c>
      <c r="D259" s="25" t="s">
        <v>1396</v>
      </c>
      <c r="E259" s="25" t="s">
        <v>1397</v>
      </c>
      <c r="F259" s="25" t="s">
        <v>568</v>
      </c>
      <c r="G259" s="26">
        <v>59714</v>
      </c>
      <c r="J259" s="25" t="s">
        <v>94</v>
      </c>
      <c r="K259" s="28">
        <v>0.09</v>
      </c>
      <c r="L259" s="24" t="s">
        <v>147</v>
      </c>
      <c r="M259" s="25" t="s">
        <v>95</v>
      </c>
      <c r="N259" s="24" t="s">
        <v>62</v>
      </c>
      <c r="O259" s="24">
        <v>24</v>
      </c>
      <c r="P259" s="24">
        <v>1</v>
      </c>
      <c r="Q259" s="31">
        <v>475270</v>
      </c>
      <c r="R259" s="31"/>
      <c r="S259" s="31"/>
      <c r="T259" s="31"/>
      <c r="W259" s="34">
        <v>36014</v>
      </c>
      <c r="Y259" s="34">
        <f t="shared" si="35"/>
        <v>36014</v>
      </c>
      <c r="Z259" s="35">
        <f t="shared" si="36"/>
        <v>41128</v>
      </c>
      <c r="AA259" s="36">
        <v>16</v>
      </c>
      <c r="AB259" s="35">
        <f t="shared" si="38"/>
        <v>46972</v>
      </c>
      <c r="AC259" s="25" t="s">
        <v>1398</v>
      </c>
      <c r="AD259" s="25" t="s">
        <v>1399</v>
      </c>
      <c r="AE259" s="25" t="s">
        <v>1400</v>
      </c>
      <c r="AF259" s="25" t="s">
        <v>1352</v>
      </c>
      <c r="AG259" s="25" t="s">
        <v>1353</v>
      </c>
      <c r="AH259" s="25">
        <v>54602</v>
      </c>
      <c r="AI259" s="37"/>
      <c r="AJ259" s="25" t="s">
        <v>1401</v>
      </c>
      <c r="AL259" s="24">
        <f>SUM(AM259:AU259)</f>
        <v>24</v>
      </c>
      <c r="AO259" s="25">
        <v>24</v>
      </c>
      <c r="BJ259" s="40">
        <v>1340674</v>
      </c>
      <c r="BK259" s="40">
        <f>VLOOKUP(M259,[1]EconBenMult!$B$12:$D$14,2,TRUE)*(BJ259/1000000)</f>
        <v>16.128308219999997</v>
      </c>
      <c r="BL259" s="31">
        <f>VLOOKUP(M259,[1]EconBenMult!$B$12:$D$14,3,TRUE)*(BJ259/1000000)</f>
        <v>937437.9392448999</v>
      </c>
    </row>
    <row r="260" spans="1:68" ht="15" customHeight="1" x14ac:dyDescent="0.2">
      <c r="A260" s="34">
        <v>35699</v>
      </c>
      <c r="B260" s="24">
        <v>1997</v>
      </c>
      <c r="C260" s="24" t="s">
        <v>181</v>
      </c>
      <c r="D260" s="25" t="s">
        <v>1402</v>
      </c>
      <c r="E260" s="25" t="s">
        <v>1403</v>
      </c>
      <c r="F260" s="25" t="s">
        <v>108</v>
      </c>
      <c r="G260" s="26">
        <v>59802</v>
      </c>
      <c r="J260" s="25" t="s">
        <v>108</v>
      </c>
      <c r="K260" s="28">
        <v>0.09</v>
      </c>
      <c r="L260" s="24" t="s">
        <v>239</v>
      </c>
      <c r="M260" s="25" t="s">
        <v>95</v>
      </c>
      <c r="N260" s="24" t="s">
        <v>62</v>
      </c>
      <c r="O260" s="29">
        <v>12</v>
      </c>
      <c r="P260" s="24">
        <v>5</v>
      </c>
      <c r="Q260" s="31">
        <v>884300</v>
      </c>
      <c r="R260" s="31"/>
      <c r="S260" s="31"/>
      <c r="T260" s="31"/>
      <c r="W260" s="34">
        <v>36129</v>
      </c>
      <c r="Y260" s="34">
        <f t="shared" si="35"/>
        <v>36129</v>
      </c>
      <c r="Z260" s="35">
        <f t="shared" si="36"/>
        <v>41243</v>
      </c>
      <c r="AA260" s="36">
        <v>15</v>
      </c>
      <c r="AB260" s="35">
        <f t="shared" si="38"/>
        <v>46721</v>
      </c>
      <c r="AC260" s="25" t="s">
        <v>1404</v>
      </c>
      <c r="AD260" s="25" t="s">
        <v>1405</v>
      </c>
      <c r="AE260" s="25" t="s">
        <v>924</v>
      </c>
      <c r="AF260" s="25" t="s">
        <v>745</v>
      </c>
      <c r="AG260" s="25" t="s">
        <v>67</v>
      </c>
      <c r="AH260" s="25">
        <v>59802</v>
      </c>
      <c r="AI260" s="37"/>
      <c r="AJ260" s="25" t="s">
        <v>781</v>
      </c>
      <c r="AL260" s="24">
        <v>12</v>
      </c>
      <c r="AP260" s="25">
        <v>3</v>
      </c>
      <c r="AQ260" s="25">
        <v>9</v>
      </c>
      <c r="BJ260" s="40">
        <v>1186492</v>
      </c>
      <c r="BK260" s="40">
        <f>VLOOKUP(M260,[1]EconBenMult!$B$12:$D$14,2,TRUE)*(BJ260/1000000)</f>
        <v>14.273498760000001</v>
      </c>
      <c r="BL260" s="31">
        <f>VLOOKUP(M260,[1]EconBenMult!$B$12:$D$14,3,TRUE)*(BJ260/1000000)</f>
        <v>829629.43669420003</v>
      </c>
    </row>
    <row r="261" spans="1:68" ht="15" customHeight="1" x14ac:dyDescent="0.2">
      <c r="A261" s="34">
        <v>35591</v>
      </c>
      <c r="B261" s="24">
        <v>1997</v>
      </c>
      <c r="C261" s="24" t="s">
        <v>181</v>
      </c>
      <c r="D261" s="25" t="s">
        <v>1406</v>
      </c>
      <c r="E261" s="25" t="s">
        <v>1385</v>
      </c>
      <c r="F261" s="25" t="s">
        <v>246</v>
      </c>
      <c r="G261" s="26">
        <v>59716</v>
      </c>
      <c r="J261" s="25" t="s">
        <v>1386</v>
      </c>
      <c r="K261" s="28">
        <v>0.09</v>
      </c>
      <c r="L261" s="24" t="s">
        <v>147</v>
      </c>
      <c r="M261" s="25" t="s">
        <v>95</v>
      </c>
      <c r="N261" s="24" t="s">
        <v>62</v>
      </c>
      <c r="O261" s="29">
        <v>24</v>
      </c>
      <c r="P261" s="24">
        <v>2</v>
      </c>
      <c r="Q261" s="31">
        <v>1064300</v>
      </c>
      <c r="R261" s="31"/>
      <c r="S261" s="31"/>
      <c r="T261" s="31"/>
      <c r="W261" s="34">
        <v>35898</v>
      </c>
      <c r="Y261" s="34">
        <f t="shared" si="35"/>
        <v>35898</v>
      </c>
      <c r="Z261" s="35">
        <f t="shared" si="36"/>
        <v>41012</v>
      </c>
      <c r="AA261" s="36">
        <v>16</v>
      </c>
      <c r="AB261" s="35">
        <f t="shared" si="38"/>
        <v>46856</v>
      </c>
      <c r="AC261" s="25" t="s">
        <v>1387</v>
      </c>
      <c r="AD261" s="25" t="s">
        <v>984</v>
      </c>
      <c r="AE261" s="25" t="s">
        <v>1143</v>
      </c>
      <c r="AF261" s="25" t="s">
        <v>986</v>
      </c>
      <c r="AG261" s="25" t="s">
        <v>67</v>
      </c>
      <c r="AH261" s="25">
        <v>59718</v>
      </c>
      <c r="AI261" s="37"/>
      <c r="AJ261" s="25" t="s">
        <v>1407</v>
      </c>
      <c r="AL261" s="24">
        <v>24</v>
      </c>
      <c r="AO261" s="25">
        <v>24</v>
      </c>
      <c r="BJ261" s="40">
        <v>1420178</v>
      </c>
      <c r="BK261" s="40">
        <f>VLOOKUP(M261,[1]EconBenMult!$B$12:$D$14,2,TRUE)*(BJ261/1000000)</f>
        <v>17.084741339999997</v>
      </c>
      <c r="BL261" s="31">
        <f>VLOOKUP(M261,[1]EconBenMult!$B$12:$D$14,3,TRUE)*(BJ261/1000000)</f>
        <v>993029.4297352999</v>
      </c>
    </row>
    <row r="262" spans="1:68" ht="15" customHeight="1" x14ac:dyDescent="0.2">
      <c r="A262" s="34">
        <v>35541</v>
      </c>
      <c r="B262" s="24">
        <v>1997</v>
      </c>
      <c r="C262" s="24" t="s">
        <v>181</v>
      </c>
      <c r="D262" s="25" t="s">
        <v>1408</v>
      </c>
      <c r="E262" s="25" t="s">
        <v>1409</v>
      </c>
      <c r="F262" s="25" t="s">
        <v>72</v>
      </c>
      <c r="G262" s="26">
        <v>59840</v>
      </c>
      <c r="J262" s="25" t="s">
        <v>73</v>
      </c>
      <c r="K262" s="28">
        <v>0.09</v>
      </c>
      <c r="L262" s="24" t="s">
        <v>147</v>
      </c>
      <c r="M262" s="25" t="s">
        <v>95</v>
      </c>
      <c r="N262" s="24" t="s">
        <v>347</v>
      </c>
      <c r="O262" s="24">
        <v>48</v>
      </c>
      <c r="P262" s="24">
        <v>1</v>
      </c>
      <c r="Q262" s="31">
        <v>2500800</v>
      </c>
      <c r="R262" s="31"/>
      <c r="S262" s="31"/>
      <c r="T262" s="31"/>
      <c r="W262" s="34">
        <v>35941</v>
      </c>
      <c r="Y262" s="34">
        <f t="shared" si="35"/>
        <v>35941</v>
      </c>
      <c r="Z262" s="35">
        <f t="shared" si="36"/>
        <v>41055</v>
      </c>
      <c r="AA262" s="36">
        <v>31</v>
      </c>
      <c r="AB262" s="35">
        <f t="shared" si="38"/>
        <v>52377</v>
      </c>
      <c r="AC262" s="25" t="s">
        <v>1410</v>
      </c>
      <c r="AD262" s="25" t="s">
        <v>843</v>
      </c>
      <c r="AE262" s="25" t="s">
        <v>1411</v>
      </c>
      <c r="AF262" s="25" t="s">
        <v>745</v>
      </c>
      <c r="AG262" s="25" t="s">
        <v>67</v>
      </c>
      <c r="AH262" s="25">
        <v>59803</v>
      </c>
      <c r="AI262" s="37"/>
      <c r="AJ262" s="25" t="s">
        <v>1412</v>
      </c>
      <c r="AL262" s="24">
        <v>48</v>
      </c>
      <c r="AO262" s="25">
        <v>42</v>
      </c>
      <c r="AP262" s="25">
        <v>6</v>
      </c>
      <c r="BJ262" s="40">
        <v>3027338</v>
      </c>
      <c r="BK262" s="40">
        <f>VLOOKUP(M262,[1]EconBenMult!$B$12:$D$14,2,TRUE)*(BJ262/1000000)</f>
        <v>36.418876139999995</v>
      </c>
      <c r="BL262" s="31">
        <f>VLOOKUP(M262,[1]EconBenMult!$B$12:$D$14,3,TRUE)*(BJ262/1000000)</f>
        <v>2116802.0683013001</v>
      </c>
    </row>
    <row r="263" spans="1:68" s="87" customFormat="1" ht="15" customHeight="1" x14ac:dyDescent="0.2">
      <c r="A263" s="89">
        <v>35541</v>
      </c>
      <c r="B263" s="86">
        <v>1997</v>
      </c>
      <c r="C263" s="86" t="s">
        <v>181</v>
      </c>
      <c r="D263" s="87" t="s">
        <v>1413</v>
      </c>
      <c r="E263" s="87" t="s">
        <v>1414</v>
      </c>
      <c r="F263" s="87" t="s">
        <v>72</v>
      </c>
      <c r="G263" s="90">
        <v>59840</v>
      </c>
      <c r="H263" s="91"/>
      <c r="I263" s="91"/>
      <c r="J263" s="87" t="s">
        <v>73</v>
      </c>
      <c r="K263" s="93">
        <v>0.09</v>
      </c>
      <c r="L263" s="86" t="s">
        <v>147</v>
      </c>
      <c r="M263" s="87" t="s">
        <v>95</v>
      </c>
      <c r="N263" s="86" t="s">
        <v>62</v>
      </c>
      <c r="O263" s="86">
        <v>10</v>
      </c>
      <c r="P263" s="86"/>
      <c r="Q263" s="98">
        <v>175000</v>
      </c>
      <c r="R263" s="98"/>
      <c r="S263" s="98"/>
      <c r="T263" s="98"/>
      <c r="U263" s="96"/>
      <c r="V263" s="97"/>
      <c r="W263" s="89">
        <v>35641</v>
      </c>
      <c r="X263" s="89"/>
      <c r="Y263" s="34">
        <f t="shared" si="35"/>
        <v>35641</v>
      </c>
      <c r="Z263" s="35">
        <f t="shared" si="36"/>
        <v>40754</v>
      </c>
      <c r="AA263" s="99">
        <v>15</v>
      </c>
      <c r="AB263" s="136">
        <f t="shared" si="38"/>
        <v>46233</v>
      </c>
      <c r="AC263" s="87" t="s">
        <v>1415</v>
      </c>
      <c r="AD263" s="87" t="s">
        <v>1416</v>
      </c>
      <c r="AE263" s="87" t="s">
        <v>1417</v>
      </c>
      <c r="AF263" s="87" t="s">
        <v>666</v>
      </c>
      <c r="AG263" s="87" t="s">
        <v>67</v>
      </c>
      <c r="AH263" s="87">
        <v>59604</v>
      </c>
      <c r="AI263" s="37"/>
      <c r="AJ263" s="87" t="s">
        <v>1418</v>
      </c>
      <c r="AK263" s="100"/>
      <c r="AL263" s="86">
        <v>10</v>
      </c>
      <c r="AP263" s="87">
        <v>10</v>
      </c>
      <c r="AW263" s="86"/>
      <c r="AX263" s="86"/>
      <c r="AY263" s="86"/>
      <c r="AZ263" s="86"/>
      <c r="BA263" s="86"/>
      <c r="BB263" s="86"/>
      <c r="BC263" s="86"/>
      <c r="BD263" s="86"/>
      <c r="BE263" s="86"/>
      <c r="BJ263" s="40">
        <v>586242</v>
      </c>
      <c r="BK263" s="40">
        <f>VLOOKUP(M263,[1]EconBenMult!$B$12:$D$14,2,TRUE)*(BJ263/1000000)</f>
        <v>7.05249126</v>
      </c>
      <c r="BL263" s="31">
        <f>VLOOKUP(M263,[1]EconBenMult!$B$12:$D$14,3,TRUE)*(BJ263/1000000)</f>
        <v>409917.31948170002</v>
      </c>
      <c r="BM263" s="40"/>
      <c r="BN263" s="40"/>
      <c r="BO263" s="40"/>
      <c r="BP263" s="40"/>
    </row>
    <row r="264" spans="1:68" s="122" customFormat="1" ht="15" customHeight="1" x14ac:dyDescent="0.2">
      <c r="A264" s="120">
        <v>35541</v>
      </c>
      <c r="B264" s="121">
        <v>1997</v>
      </c>
      <c r="C264" s="121" t="s">
        <v>181</v>
      </c>
      <c r="D264" s="122" t="s">
        <v>1419</v>
      </c>
      <c r="E264" s="122" t="s">
        <v>1420</v>
      </c>
      <c r="F264" s="122" t="s">
        <v>384</v>
      </c>
      <c r="G264" s="123">
        <v>59001</v>
      </c>
      <c r="H264" s="124"/>
      <c r="I264" s="124"/>
      <c r="J264" s="122" t="s">
        <v>1421</v>
      </c>
      <c r="K264" s="125">
        <v>0.09</v>
      </c>
      <c r="L264" s="121" t="s">
        <v>147</v>
      </c>
      <c r="M264" s="122" t="s">
        <v>329</v>
      </c>
      <c r="N264" s="121" t="s">
        <v>347</v>
      </c>
      <c r="O264" s="121">
        <v>32</v>
      </c>
      <c r="P264" s="121">
        <v>1</v>
      </c>
      <c r="Q264" s="130">
        <v>151340</v>
      </c>
      <c r="R264" s="130"/>
      <c r="S264" s="130"/>
      <c r="T264" s="130"/>
      <c r="U264" s="128"/>
      <c r="V264" s="129"/>
      <c r="W264" s="120">
        <v>36130</v>
      </c>
      <c r="X264" s="120"/>
      <c r="Y264" s="34">
        <f t="shared" si="35"/>
        <v>36130</v>
      </c>
      <c r="Z264" s="35">
        <f t="shared" si="36"/>
        <v>41244</v>
      </c>
      <c r="AA264" s="132">
        <v>16</v>
      </c>
      <c r="AB264" s="131">
        <f t="shared" si="38"/>
        <v>47088</v>
      </c>
      <c r="AC264" s="122" t="s">
        <v>1422</v>
      </c>
      <c r="AD264" s="122" t="s">
        <v>1423</v>
      </c>
      <c r="AE264" s="122" t="s">
        <v>1424</v>
      </c>
      <c r="AF264" s="122" t="s">
        <v>908</v>
      </c>
      <c r="AG264" s="122" t="s">
        <v>131</v>
      </c>
      <c r="AH264" s="122">
        <v>98103</v>
      </c>
      <c r="AI264" s="37"/>
      <c r="AJ264" s="122" t="s">
        <v>1425</v>
      </c>
      <c r="AK264" s="134"/>
      <c r="AL264" s="121">
        <v>32</v>
      </c>
      <c r="AO264" s="122">
        <v>28</v>
      </c>
      <c r="AP264" s="122">
        <v>4</v>
      </c>
      <c r="AW264" s="121"/>
      <c r="AX264" s="121"/>
      <c r="AY264" s="121"/>
      <c r="AZ264" s="121"/>
      <c r="BA264" s="121"/>
      <c r="BB264" s="121"/>
      <c r="BC264" s="121"/>
      <c r="BD264" s="121"/>
      <c r="BE264" s="121"/>
      <c r="BJ264" s="40">
        <v>755867</v>
      </c>
      <c r="BK264" s="40">
        <f>VLOOKUP(M264,[1]EconBenMult!$B$12:$D$14,2,TRUE)*(BJ264/1000000)</f>
        <v>5.8655279199999999</v>
      </c>
      <c r="BL264" s="31">
        <f>VLOOKUP(M264,[1]EconBenMult!$B$12:$D$14,3,TRUE)*(BJ264/1000000)</f>
        <v>323683.44391067995</v>
      </c>
      <c r="BM264" s="40"/>
      <c r="BN264" s="40"/>
      <c r="BO264" s="40"/>
      <c r="BP264" s="40"/>
    </row>
    <row r="265" spans="1:68" ht="15" customHeight="1" x14ac:dyDescent="0.2">
      <c r="A265" s="34">
        <v>34942</v>
      </c>
      <c r="B265" s="24">
        <v>1996</v>
      </c>
      <c r="C265" s="24" t="s">
        <v>181</v>
      </c>
      <c r="D265" s="25" t="s">
        <v>1426</v>
      </c>
      <c r="E265" s="25" t="s">
        <v>1427</v>
      </c>
      <c r="F265" s="25" t="s">
        <v>108</v>
      </c>
      <c r="G265" s="26">
        <v>59802</v>
      </c>
      <c r="J265" s="25" t="s">
        <v>108</v>
      </c>
      <c r="K265" s="28">
        <v>0.04</v>
      </c>
      <c r="L265" s="24" t="s">
        <v>147</v>
      </c>
      <c r="M265" s="25" t="s">
        <v>95</v>
      </c>
      <c r="N265" s="24" t="s">
        <v>62</v>
      </c>
      <c r="O265" s="29">
        <v>161</v>
      </c>
      <c r="P265" s="29">
        <v>13</v>
      </c>
      <c r="Q265" s="31">
        <v>4689780</v>
      </c>
      <c r="R265" s="31"/>
      <c r="S265" s="31"/>
      <c r="T265" s="31"/>
      <c r="W265" s="34">
        <v>35271</v>
      </c>
      <c r="Y265" s="34">
        <f t="shared" si="35"/>
        <v>35271</v>
      </c>
      <c r="Z265" s="35">
        <f t="shared" si="36"/>
        <v>40384</v>
      </c>
      <c r="AA265" s="36">
        <v>15</v>
      </c>
      <c r="AB265" s="35">
        <f t="shared" si="38"/>
        <v>45863</v>
      </c>
      <c r="AC265" s="25" t="s">
        <v>1428</v>
      </c>
      <c r="AD265" s="25" t="s">
        <v>1429</v>
      </c>
      <c r="AE265" s="25" t="s">
        <v>1430</v>
      </c>
      <c r="AF265" s="25" t="s">
        <v>908</v>
      </c>
      <c r="AG265" s="25" t="s">
        <v>131</v>
      </c>
      <c r="AH265" s="25">
        <v>98121</v>
      </c>
      <c r="AI265" s="37"/>
      <c r="AJ265" s="25" t="s">
        <v>1431</v>
      </c>
      <c r="AL265" s="24">
        <f t="shared" ref="AL265:AL276" si="39">SUM(AM265:AU265)</f>
        <v>161</v>
      </c>
      <c r="AN265" s="25">
        <v>12</v>
      </c>
      <c r="AO265" s="25">
        <v>40</v>
      </c>
      <c r="AP265" s="25">
        <v>88</v>
      </c>
      <c r="AQ265" s="25">
        <v>21</v>
      </c>
      <c r="BJ265" s="40">
        <v>10280000</v>
      </c>
      <c r="BK265" s="40">
        <f>VLOOKUP(M265,[1]EconBenMult!$B$12:$D$14,2,TRUE)*(BJ265/1000000)</f>
        <v>123.66839999999999</v>
      </c>
      <c r="BL265" s="31">
        <f>VLOOKUP(M265,[1]EconBenMult!$B$12:$D$14,3,TRUE)*(BJ265/1000000)</f>
        <v>7188072.5779999997</v>
      </c>
    </row>
    <row r="266" spans="1:68" ht="15" customHeight="1" x14ac:dyDescent="0.2">
      <c r="A266" s="89">
        <v>35279</v>
      </c>
      <c r="B266" s="86">
        <v>1996</v>
      </c>
      <c r="C266" s="86" t="s">
        <v>1380</v>
      </c>
      <c r="D266" s="87" t="s">
        <v>1432</v>
      </c>
      <c r="E266" s="87" t="s">
        <v>1433</v>
      </c>
      <c r="F266" s="87" t="s">
        <v>1038</v>
      </c>
      <c r="G266" s="90">
        <v>59855</v>
      </c>
      <c r="H266" s="91"/>
      <c r="I266" s="91"/>
      <c r="J266" s="87" t="s">
        <v>441</v>
      </c>
      <c r="K266" s="93">
        <v>0.09</v>
      </c>
      <c r="L266" s="86" t="s">
        <v>188</v>
      </c>
      <c r="M266" s="87" t="s">
        <v>95</v>
      </c>
      <c r="N266" s="86" t="s">
        <v>62</v>
      </c>
      <c r="O266" s="86">
        <v>20</v>
      </c>
      <c r="P266" s="86">
        <v>20</v>
      </c>
      <c r="Q266" s="98">
        <v>1286260</v>
      </c>
      <c r="R266" s="98"/>
      <c r="S266" s="98"/>
      <c r="T266" s="98"/>
      <c r="U266" s="96"/>
      <c r="V266" s="97"/>
      <c r="W266" s="34">
        <v>36151</v>
      </c>
      <c r="Y266" s="34">
        <f t="shared" si="35"/>
        <v>36151</v>
      </c>
      <c r="AA266" s="99"/>
      <c r="AC266" s="87" t="s">
        <v>1434</v>
      </c>
      <c r="AD266" s="87" t="s">
        <v>1040</v>
      </c>
      <c r="AE266" s="87" t="s">
        <v>1041</v>
      </c>
      <c r="AF266" s="87" t="s">
        <v>1042</v>
      </c>
      <c r="AG266" s="87" t="s">
        <v>67</v>
      </c>
      <c r="AH266" s="87">
        <v>59855</v>
      </c>
      <c r="AI266" s="37"/>
      <c r="AJ266" s="87" t="s">
        <v>1435</v>
      </c>
      <c r="AK266" s="100"/>
      <c r="AL266" s="86">
        <f t="shared" si="39"/>
        <v>20</v>
      </c>
      <c r="AM266" s="87"/>
      <c r="AN266" s="87"/>
      <c r="AO266" s="87"/>
      <c r="AP266" s="87"/>
      <c r="AQ266" s="87"/>
      <c r="AR266" s="87">
        <v>10</v>
      </c>
      <c r="AS266" s="87">
        <v>10</v>
      </c>
      <c r="AT266" s="87"/>
      <c r="AU266" s="87"/>
      <c r="AV266" s="87"/>
      <c r="BJ266" s="40">
        <v>1586680</v>
      </c>
      <c r="BK266" s="40">
        <f>VLOOKUP(M266,[1]EconBenMult!$B$12:$D$14,2,TRUE)*(BJ266/1000000)</f>
        <v>19.087760400000001</v>
      </c>
      <c r="BL266" s="31">
        <f>VLOOKUP(M266,[1]EconBenMult!$B$12:$D$14,3,TRUE)*(BJ266/1000000)</f>
        <v>1109452.431718</v>
      </c>
    </row>
    <row r="267" spans="1:68" ht="15" customHeight="1" x14ac:dyDescent="0.2">
      <c r="A267" s="34">
        <v>35279</v>
      </c>
      <c r="B267" s="24">
        <v>1996</v>
      </c>
      <c r="C267" s="24" t="s">
        <v>181</v>
      </c>
      <c r="D267" s="25" t="s">
        <v>1436</v>
      </c>
      <c r="E267" s="25" t="s">
        <v>1437</v>
      </c>
      <c r="F267" s="25" t="s">
        <v>113</v>
      </c>
      <c r="G267" s="26">
        <v>59103</v>
      </c>
      <c r="J267" s="25" t="s">
        <v>175</v>
      </c>
      <c r="K267" s="28">
        <v>0.09</v>
      </c>
      <c r="L267" s="24" t="s">
        <v>239</v>
      </c>
      <c r="M267" s="25" t="s">
        <v>329</v>
      </c>
      <c r="N267" s="24" t="s">
        <v>62</v>
      </c>
      <c r="O267" s="24">
        <v>9</v>
      </c>
      <c r="P267" s="24">
        <v>4</v>
      </c>
      <c r="Q267" s="31">
        <v>753590</v>
      </c>
      <c r="R267" s="31"/>
      <c r="S267" s="31"/>
      <c r="T267" s="31"/>
      <c r="W267" s="34">
        <v>35614</v>
      </c>
      <c r="Y267" s="34">
        <f t="shared" si="35"/>
        <v>35614</v>
      </c>
      <c r="Z267" s="35">
        <f t="shared" si="36"/>
        <v>40727</v>
      </c>
      <c r="AA267" s="36">
        <v>16</v>
      </c>
      <c r="AB267" s="35">
        <f>DATE(YEAR(Z267)+AA267,MONTH(Z267),DAY(Z267))</f>
        <v>46571</v>
      </c>
      <c r="AC267" s="25" t="s">
        <v>1438</v>
      </c>
      <c r="AD267" s="25" t="s">
        <v>1236</v>
      </c>
      <c r="AE267" s="25" t="s">
        <v>1439</v>
      </c>
      <c r="AF267" s="25" t="s">
        <v>1378</v>
      </c>
      <c r="AG267" s="25" t="s">
        <v>67</v>
      </c>
      <c r="AH267" s="25">
        <v>59103</v>
      </c>
      <c r="AI267" s="37"/>
      <c r="AJ267" s="25" t="s">
        <v>1440</v>
      </c>
      <c r="AL267" s="24">
        <f t="shared" si="39"/>
        <v>9</v>
      </c>
      <c r="AP267" s="25">
        <v>1</v>
      </c>
      <c r="AQ267" s="25">
        <v>4</v>
      </c>
      <c r="AR267" s="25">
        <v>3</v>
      </c>
      <c r="AS267" s="25">
        <v>1</v>
      </c>
      <c r="BJ267" s="40">
        <v>726081</v>
      </c>
      <c r="BK267" s="40">
        <f>VLOOKUP(M267,[1]EconBenMult!$B$12:$D$14,2,TRUE)*(BJ267/1000000)</f>
        <v>5.6343885599999997</v>
      </c>
      <c r="BL267" s="31">
        <f>VLOOKUP(M267,[1]EconBenMult!$B$12:$D$14,3,TRUE)*(BJ267/1000000)</f>
        <v>310928.24351124</v>
      </c>
    </row>
    <row r="268" spans="1:68" ht="15" customHeight="1" x14ac:dyDescent="0.2">
      <c r="A268" s="89">
        <v>35279</v>
      </c>
      <c r="B268" s="86">
        <v>1996</v>
      </c>
      <c r="C268" s="86" t="s">
        <v>1441</v>
      </c>
      <c r="D268" s="87" t="s">
        <v>1442</v>
      </c>
      <c r="E268" s="87" t="s">
        <v>1443</v>
      </c>
      <c r="F268" s="87" t="s">
        <v>108</v>
      </c>
      <c r="G268" s="90">
        <v>59808</v>
      </c>
      <c r="H268" s="91"/>
      <c r="I268" s="91"/>
      <c r="J268" s="87" t="s">
        <v>108</v>
      </c>
      <c r="K268" s="93">
        <v>0.09</v>
      </c>
      <c r="L268" s="86" t="s">
        <v>147</v>
      </c>
      <c r="M268" s="87" t="s">
        <v>95</v>
      </c>
      <c r="N268" s="86" t="s">
        <v>347</v>
      </c>
      <c r="O268" s="86">
        <v>70</v>
      </c>
      <c r="P268" s="86">
        <v>1</v>
      </c>
      <c r="Q268" s="98">
        <v>4437780</v>
      </c>
      <c r="R268" s="98"/>
      <c r="S268" s="98"/>
      <c r="T268" s="98"/>
      <c r="U268" s="96"/>
      <c r="V268" s="97"/>
      <c r="W268" s="34">
        <v>35915</v>
      </c>
      <c r="Y268" s="34">
        <f t="shared" si="35"/>
        <v>35915</v>
      </c>
      <c r="Z268" s="35">
        <f t="shared" si="36"/>
        <v>41029</v>
      </c>
      <c r="AA268" s="99">
        <v>15</v>
      </c>
      <c r="AB268" s="35">
        <f>DATE(YEAR(Z268)+AA268,MONTH(Z268),DAY(Z268))</f>
        <v>46507</v>
      </c>
      <c r="AC268" s="87" t="s">
        <v>1444</v>
      </c>
      <c r="AD268" s="87" t="s">
        <v>1173</v>
      </c>
      <c r="AE268" s="87" t="s">
        <v>1174</v>
      </c>
      <c r="AF268" s="87" t="s">
        <v>1175</v>
      </c>
      <c r="AG268" s="87" t="s">
        <v>89</v>
      </c>
      <c r="AH268" s="87">
        <v>92660</v>
      </c>
      <c r="AI268" s="37"/>
      <c r="AJ268" s="87" t="s">
        <v>1445</v>
      </c>
      <c r="AK268" s="100"/>
      <c r="AL268" s="86">
        <f t="shared" si="39"/>
        <v>70</v>
      </c>
      <c r="AM268" s="87"/>
      <c r="AN268" s="87"/>
      <c r="AO268" s="87">
        <v>53</v>
      </c>
      <c r="AP268" s="87">
        <v>17</v>
      </c>
      <c r="AQ268" s="87"/>
      <c r="AR268" s="87"/>
      <c r="AS268" s="87"/>
      <c r="AT268" s="87"/>
      <c r="AU268" s="87"/>
      <c r="AV268" s="87"/>
      <c r="BJ268" s="40">
        <v>4565779</v>
      </c>
      <c r="BK268" s="40">
        <f>VLOOKUP(M268,[1]EconBenMult!$B$12:$D$14,2,TRUE)*(BJ268/1000000)</f>
        <v>54.926321369999997</v>
      </c>
      <c r="BL268" s="31">
        <f>VLOOKUP(M268,[1]EconBenMult!$B$12:$D$14,3,TRUE)*(BJ268/1000000)</f>
        <v>3192524.39952415</v>
      </c>
    </row>
    <row r="269" spans="1:68" ht="15" customHeight="1" x14ac:dyDescent="0.2">
      <c r="A269" s="89">
        <v>35279</v>
      </c>
      <c r="B269" s="86">
        <v>1996</v>
      </c>
      <c r="C269" s="86" t="s">
        <v>862</v>
      </c>
      <c r="D269" s="87" t="s">
        <v>1446</v>
      </c>
      <c r="E269" s="87" t="s">
        <v>1447</v>
      </c>
      <c r="F269" s="87" t="s">
        <v>1448</v>
      </c>
      <c r="G269" s="90">
        <v>59522</v>
      </c>
      <c r="H269" s="91"/>
      <c r="I269" s="91"/>
      <c r="J269" s="87" t="s">
        <v>1449</v>
      </c>
      <c r="K269" s="93">
        <v>0.09</v>
      </c>
      <c r="L269" s="86" t="s">
        <v>147</v>
      </c>
      <c r="M269" s="87" t="s">
        <v>95</v>
      </c>
      <c r="N269" s="86" t="s">
        <v>62</v>
      </c>
      <c r="O269" s="86">
        <v>6</v>
      </c>
      <c r="P269" s="86"/>
      <c r="Q269" s="98">
        <v>30300</v>
      </c>
      <c r="R269" s="98"/>
      <c r="S269" s="98"/>
      <c r="T269" s="98"/>
      <c r="U269" s="96"/>
      <c r="V269" s="97"/>
      <c r="W269" s="34">
        <v>35557</v>
      </c>
      <c r="Y269" s="34">
        <f t="shared" si="35"/>
        <v>35557</v>
      </c>
      <c r="AA269" s="99"/>
      <c r="AC269" s="87" t="s">
        <v>1450</v>
      </c>
      <c r="AD269" s="87"/>
      <c r="AE269" s="87" t="s">
        <v>1451</v>
      </c>
      <c r="AF269" s="87" t="s">
        <v>1452</v>
      </c>
      <c r="AG269" s="87" t="s">
        <v>67</v>
      </c>
      <c r="AH269" s="87">
        <v>59522</v>
      </c>
      <c r="AI269" s="37"/>
      <c r="AJ269" s="87" t="s">
        <v>1453</v>
      </c>
      <c r="AK269" s="100"/>
      <c r="AL269" s="86">
        <f t="shared" si="39"/>
        <v>6</v>
      </c>
      <c r="AM269" s="147"/>
      <c r="AN269" s="87"/>
      <c r="AO269" s="87"/>
      <c r="AP269" s="87"/>
      <c r="AQ269" s="87">
        <v>2</v>
      </c>
      <c r="AR269" s="87"/>
      <c r="AS269" s="87"/>
      <c r="AT269" s="87"/>
      <c r="AU269" s="87">
        <v>4</v>
      </c>
      <c r="AV269" s="87"/>
      <c r="BJ269" s="40">
        <v>275296</v>
      </c>
      <c r="BK269" s="40">
        <f>VLOOKUP(M269,[1]EconBenMult!$B$12:$D$14,2,TRUE)*(BJ269/1000000)</f>
        <v>3.3118108799999995</v>
      </c>
      <c r="BL269" s="31">
        <f>VLOOKUP(M269,[1]EconBenMult!$B$12:$D$14,3,TRUE)*(BJ269/1000000)</f>
        <v>192494.90548959997</v>
      </c>
    </row>
    <row r="270" spans="1:68" ht="15" customHeight="1" x14ac:dyDescent="0.2">
      <c r="A270" s="34">
        <v>35188</v>
      </c>
      <c r="B270" s="24">
        <v>1996</v>
      </c>
      <c r="C270" s="24" t="s">
        <v>181</v>
      </c>
      <c r="D270" s="25" t="s">
        <v>1454</v>
      </c>
      <c r="E270" s="25" t="s">
        <v>1455</v>
      </c>
      <c r="F270" s="25" t="s">
        <v>1456</v>
      </c>
      <c r="G270" s="26">
        <v>59523</v>
      </c>
      <c r="J270" s="25" t="s">
        <v>959</v>
      </c>
      <c r="K270" s="28">
        <v>0.09</v>
      </c>
      <c r="L270" s="24" t="s">
        <v>147</v>
      </c>
      <c r="M270" s="25" t="s">
        <v>95</v>
      </c>
      <c r="N270" s="24" t="s">
        <v>62</v>
      </c>
      <c r="O270" s="24">
        <v>12</v>
      </c>
      <c r="Q270" s="31">
        <v>71560</v>
      </c>
      <c r="R270" s="31"/>
      <c r="S270" s="31"/>
      <c r="T270" s="31"/>
      <c r="W270" s="34">
        <v>35419</v>
      </c>
      <c r="Y270" s="34">
        <f t="shared" si="35"/>
        <v>35419</v>
      </c>
      <c r="Z270" s="35">
        <f t="shared" si="36"/>
        <v>40532</v>
      </c>
      <c r="AA270" s="36">
        <v>35</v>
      </c>
      <c r="AB270" s="35">
        <f>DATE(YEAR(Z270)+AA270,MONTH(Z270),DAY(Z270))</f>
        <v>53316</v>
      </c>
      <c r="AC270" s="25" t="s">
        <v>1457</v>
      </c>
      <c r="AD270" s="25" t="s">
        <v>1458</v>
      </c>
      <c r="AE270" s="25" t="s">
        <v>1459</v>
      </c>
      <c r="AF270" s="25" t="s">
        <v>745</v>
      </c>
      <c r="AG270" s="25" t="s">
        <v>67</v>
      </c>
      <c r="AH270" s="25" t="s">
        <v>1460</v>
      </c>
      <c r="AI270" s="37"/>
      <c r="AJ270" s="26" t="s">
        <v>1461</v>
      </c>
      <c r="AL270" s="24">
        <f t="shared" si="39"/>
        <v>12</v>
      </c>
      <c r="AO270" s="25">
        <v>4</v>
      </c>
      <c r="AP270" s="25">
        <v>8</v>
      </c>
      <c r="BJ270" s="40">
        <v>201224</v>
      </c>
      <c r="BK270" s="40">
        <f>VLOOKUP(M270,[1]EconBenMult!$B$12:$D$14,2,TRUE)*(BJ270/1000000)</f>
        <v>2.4207247199999995</v>
      </c>
      <c r="BL270" s="31">
        <f>VLOOKUP(M270,[1]EconBenMult!$B$12:$D$14,3,TRUE)*(BJ270/1000000)</f>
        <v>140701.62611239997</v>
      </c>
    </row>
    <row r="271" spans="1:68" ht="15" customHeight="1" x14ac:dyDescent="0.2">
      <c r="A271" s="89">
        <v>35188</v>
      </c>
      <c r="B271" s="86">
        <v>1996</v>
      </c>
      <c r="C271" s="86" t="s">
        <v>862</v>
      </c>
      <c r="D271" s="87" t="s">
        <v>1462</v>
      </c>
      <c r="E271" s="87" t="s">
        <v>1463</v>
      </c>
      <c r="F271" s="87" t="s">
        <v>1464</v>
      </c>
      <c r="G271" s="90">
        <v>59758</v>
      </c>
      <c r="H271" s="91"/>
      <c r="I271" s="91"/>
      <c r="J271" s="87" t="s">
        <v>94</v>
      </c>
      <c r="K271" s="93">
        <v>0.09</v>
      </c>
      <c r="L271" s="86" t="s">
        <v>147</v>
      </c>
      <c r="M271" s="87" t="s">
        <v>95</v>
      </c>
      <c r="N271" s="86" t="s">
        <v>62</v>
      </c>
      <c r="O271" s="86">
        <v>53</v>
      </c>
      <c r="P271" s="86"/>
      <c r="Q271" s="98">
        <v>1781930</v>
      </c>
      <c r="R271" s="98"/>
      <c r="S271" s="98"/>
      <c r="T271" s="98"/>
      <c r="U271" s="96"/>
      <c r="V271" s="97"/>
      <c r="W271" s="34">
        <v>35489</v>
      </c>
      <c r="Y271" s="34">
        <f t="shared" si="35"/>
        <v>35489</v>
      </c>
      <c r="AA271" s="99"/>
      <c r="AC271" s="87" t="s">
        <v>1465</v>
      </c>
      <c r="AD271" s="87" t="s">
        <v>1051</v>
      </c>
      <c r="AE271" s="87" t="s">
        <v>1466</v>
      </c>
      <c r="AF271" s="87" t="s">
        <v>986</v>
      </c>
      <c r="AG271" s="87" t="s">
        <v>67</v>
      </c>
      <c r="AH271" s="87">
        <v>59718</v>
      </c>
      <c r="AI271" s="37"/>
      <c r="AJ271" s="87" t="s">
        <v>1467</v>
      </c>
      <c r="AK271" s="100"/>
      <c r="AL271" s="86">
        <f t="shared" si="39"/>
        <v>53</v>
      </c>
      <c r="AM271" s="87">
        <v>28</v>
      </c>
      <c r="AN271" s="87"/>
      <c r="AO271" s="87">
        <v>14</v>
      </c>
      <c r="AP271" s="87">
        <v>11</v>
      </c>
      <c r="AQ271" s="87"/>
      <c r="AR271" s="87"/>
      <c r="AS271" s="87"/>
      <c r="AT271" s="87"/>
      <c r="AU271" s="87"/>
      <c r="AV271" s="87"/>
      <c r="BJ271" s="40">
        <v>2563215</v>
      </c>
      <c r="BK271" s="40">
        <f>VLOOKUP(M271,[1]EconBenMult!$B$12:$D$14,2,TRUE)*(BJ271/1000000)</f>
        <v>30.835476449999998</v>
      </c>
      <c r="BL271" s="31">
        <f>VLOOKUP(M271,[1]EconBenMult!$B$12:$D$14,3,TRUE)*(BJ271/1000000)</f>
        <v>1792273.87675275</v>
      </c>
    </row>
    <row r="272" spans="1:68" ht="15" customHeight="1" x14ac:dyDescent="0.2">
      <c r="A272" s="34">
        <v>35125</v>
      </c>
      <c r="B272" s="24">
        <v>1996</v>
      </c>
      <c r="C272" s="24" t="s">
        <v>181</v>
      </c>
      <c r="D272" s="25" t="s">
        <v>1468</v>
      </c>
      <c r="E272" s="25" t="s">
        <v>1469</v>
      </c>
      <c r="F272" s="25" t="s">
        <v>113</v>
      </c>
      <c r="G272" s="26">
        <v>59103</v>
      </c>
      <c r="J272" s="25" t="s">
        <v>175</v>
      </c>
      <c r="K272" s="28">
        <v>0.09</v>
      </c>
      <c r="L272" s="24" t="s">
        <v>147</v>
      </c>
      <c r="M272" s="25" t="s">
        <v>95</v>
      </c>
      <c r="N272" s="24" t="s">
        <v>62</v>
      </c>
      <c r="O272" s="29">
        <v>63</v>
      </c>
      <c r="P272" s="24">
        <v>3</v>
      </c>
      <c r="Q272" s="31">
        <v>2599650</v>
      </c>
      <c r="R272" s="31"/>
      <c r="S272" s="31"/>
      <c r="T272" s="31"/>
      <c r="W272" s="34">
        <v>35737</v>
      </c>
      <c r="Y272" s="34">
        <f t="shared" si="35"/>
        <v>35737</v>
      </c>
      <c r="Z272" s="35">
        <f t="shared" si="36"/>
        <v>40850</v>
      </c>
      <c r="AA272" s="36">
        <v>16</v>
      </c>
      <c r="AB272" s="35">
        <f t="shared" ref="AB272:AB292" si="40">DATE(YEAR(Z272)+AA272,MONTH(Z272),DAY(Z272))</f>
        <v>46694</v>
      </c>
      <c r="AC272" s="25" t="s">
        <v>1470</v>
      </c>
      <c r="AD272" s="25" t="s">
        <v>1471</v>
      </c>
      <c r="AE272" s="25" t="s">
        <v>1472</v>
      </c>
      <c r="AF272" s="25" t="s">
        <v>745</v>
      </c>
      <c r="AG272" s="25" t="s">
        <v>67</v>
      </c>
      <c r="AH272" s="25">
        <v>59802</v>
      </c>
      <c r="AI272" s="37"/>
      <c r="AJ272" s="25" t="s">
        <v>1473</v>
      </c>
      <c r="AL272" s="24">
        <f t="shared" si="39"/>
        <v>63</v>
      </c>
      <c r="AO272" s="25">
        <v>3</v>
      </c>
      <c r="AP272" s="25">
        <f>14+28</f>
        <v>42</v>
      </c>
      <c r="AQ272" s="25">
        <v>18</v>
      </c>
      <c r="BJ272" s="40">
        <v>3158500</v>
      </c>
      <c r="BK272" s="40">
        <f>VLOOKUP(M272,[1]EconBenMult!$B$12:$D$14,2,TRUE)*(BJ272/1000000)</f>
        <v>37.996755</v>
      </c>
      <c r="BL272" s="31">
        <f>VLOOKUP(M272,[1]EconBenMult!$B$12:$D$14,3,TRUE)*(BJ272/1000000)</f>
        <v>2208514.3227249999</v>
      </c>
    </row>
    <row r="273" spans="1:68" s="87" customFormat="1" ht="15" customHeight="1" x14ac:dyDescent="0.2">
      <c r="A273" s="34">
        <v>35125</v>
      </c>
      <c r="B273" s="24">
        <v>1996</v>
      </c>
      <c r="C273" s="24" t="s">
        <v>181</v>
      </c>
      <c r="D273" s="25" t="s">
        <v>1474</v>
      </c>
      <c r="E273" s="25" t="s">
        <v>1261</v>
      </c>
      <c r="F273" s="25" t="s">
        <v>1475</v>
      </c>
      <c r="G273" s="26">
        <v>59714</v>
      </c>
      <c r="H273" s="27"/>
      <c r="I273" s="27"/>
      <c r="J273" s="25" t="s">
        <v>94</v>
      </c>
      <c r="K273" s="28">
        <v>0.09</v>
      </c>
      <c r="L273" s="24" t="s">
        <v>147</v>
      </c>
      <c r="M273" s="25" t="s">
        <v>95</v>
      </c>
      <c r="N273" s="24" t="s">
        <v>62</v>
      </c>
      <c r="O273" s="29">
        <v>16</v>
      </c>
      <c r="P273" s="24">
        <v>2</v>
      </c>
      <c r="Q273" s="31">
        <v>708460</v>
      </c>
      <c r="R273" s="31"/>
      <c r="S273" s="31"/>
      <c r="T273" s="31"/>
      <c r="U273" s="32"/>
      <c r="V273" s="33"/>
      <c r="W273" s="34">
        <v>35580</v>
      </c>
      <c r="X273" s="34"/>
      <c r="Y273" s="34">
        <f t="shared" si="35"/>
        <v>35580</v>
      </c>
      <c r="Z273" s="35">
        <f t="shared" si="36"/>
        <v>40693</v>
      </c>
      <c r="AA273" s="36">
        <v>15</v>
      </c>
      <c r="AB273" s="35">
        <f t="shared" si="40"/>
        <v>46172</v>
      </c>
      <c r="AC273" s="25" t="s">
        <v>1476</v>
      </c>
      <c r="AD273" s="25" t="s">
        <v>1051</v>
      </c>
      <c r="AE273" s="25" t="s">
        <v>1143</v>
      </c>
      <c r="AF273" s="25" t="s">
        <v>986</v>
      </c>
      <c r="AG273" s="25" t="s">
        <v>67</v>
      </c>
      <c r="AH273" s="25">
        <v>59715</v>
      </c>
      <c r="AI273" s="37"/>
      <c r="AJ273" s="25" t="s">
        <v>1467</v>
      </c>
      <c r="AK273" s="42"/>
      <c r="AL273" s="24">
        <f t="shared" si="39"/>
        <v>16</v>
      </c>
      <c r="AM273" s="25"/>
      <c r="AN273" s="25"/>
      <c r="AO273" s="25"/>
      <c r="AP273" s="25">
        <v>16</v>
      </c>
      <c r="AQ273" s="25"/>
      <c r="AR273" s="25"/>
      <c r="AS273" s="25"/>
      <c r="AT273" s="25"/>
      <c r="AU273" s="25"/>
      <c r="AV273" s="25"/>
      <c r="AW273" s="86"/>
      <c r="AX273" s="86"/>
      <c r="AY273" s="86"/>
      <c r="AZ273" s="86"/>
      <c r="BA273" s="86"/>
      <c r="BB273" s="86"/>
      <c r="BC273" s="86"/>
      <c r="BD273" s="86"/>
      <c r="BE273" s="86"/>
      <c r="BJ273" s="40">
        <v>907144</v>
      </c>
      <c r="BK273" s="40">
        <f>VLOOKUP(M273,[1]EconBenMult!$B$12:$D$14,2,TRUE)*(BJ273/1000000)</f>
        <v>10.912942319999999</v>
      </c>
      <c r="BL273" s="31">
        <f>VLOOKUP(M273,[1]EconBenMult!$B$12:$D$14,3,TRUE)*(BJ273/1000000)</f>
        <v>634301.25590439991</v>
      </c>
      <c r="BM273" s="40"/>
      <c r="BN273" s="40"/>
      <c r="BO273" s="40"/>
      <c r="BP273" s="40"/>
    </row>
    <row r="274" spans="1:68" ht="15" customHeight="1" x14ac:dyDescent="0.2">
      <c r="A274" s="34">
        <v>35125</v>
      </c>
      <c r="B274" s="24">
        <v>1996</v>
      </c>
      <c r="C274" s="24" t="s">
        <v>181</v>
      </c>
      <c r="D274" s="25" t="s">
        <v>1477</v>
      </c>
      <c r="E274" s="25" t="s">
        <v>1478</v>
      </c>
      <c r="F274" s="25" t="s">
        <v>108</v>
      </c>
      <c r="G274" s="26">
        <v>59803</v>
      </c>
      <c r="J274" s="25" t="s">
        <v>108</v>
      </c>
      <c r="K274" s="28">
        <v>0.09</v>
      </c>
      <c r="L274" s="24" t="s">
        <v>147</v>
      </c>
      <c r="M274" s="25" t="s">
        <v>95</v>
      </c>
      <c r="N274" s="24" t="s">
        <v>347</v>
      </c>
      <c r="O274" s="29">
        <v>51</v>
      </c>
      <c r="Q274" s="31">
        <v>3000000</v>
      </c>
      <c r="R274" s="31"/>
      <c r="S274" s="31"/>
      <c r="T274" s="31"/>
      <c r="W274" s="34">
        <v>35772</v>
      </c>
      <c r="Y274" s="34">
        <f t="shared" si="35"/>
        <v>35772</v>
      </c>
      <c r="Z274" s="35">
        <f t="shared" si="36"/>
        <v>40885</v>
      </c>
      <c r="AA274" s="36">
        <v>31</v>
      </c>
      <c r="AB274" s="35">
        <f t="shared" si="40"/>
        <v>52208</v>
      </c>
      <c r="AC274" s="25" t="s">
        <v>1479</v>
      </c>
      <c r="AD274" s="25" t="s">
        <v>1480</v>
      </c>
      <c r="AE274" s="25" t="s">
        <v>1481</v>
      </c>
      <c r="AF274" s="25" t="s">
        <v>1482</v>
      </c>
      <c r="AG274" s="25" t="s">
        <v>1483</v>
      </c>
      <c r="AH274" s="25">
        <v>97239</v>
      </c>
      <c r="AI274" s="37"/>
      <c r="AJ274" s="25" t="s">
        <v>1484</v>
      </c>
      <c r="AL274" s="24">
        <f t="shared" si="39"/>
        <v>51</v>
      </c>
      <c r="AO274" s="25">
        <f>17+27</f>
        <v>44</v>
      </c>
      <c r="AP274" s="25">
        <v>7</v>
      </c>
      <c r="BJ274" s="40">
        <v>2966629</v>
      </c>
      <c r="BK274" s="40">
        <f>VLOOKUP(M274,[1]EconBenMult!$B$12:$D$14,2,TRUE)*(BJ274/1000000)</f>
        <v>35.688546870000003</v>
      </c>
      <c r="BL274" s="31">
        <f>VLOOKUP(M274,[1]EconBenMult!$B$12:$D$14,3,TRUE)*(BJ274/1000000)</f>
        <v>2074352.58404665</v>
      </c>
    </row>
    <row r="275" spans="1:68" ht="15" customHeight="1" x14ac:dyDescent="0.2">
      <c r="A275" s="34">
        <v>35125</v>
      </c>
      <c r="B275" s="24">
        <v>1996</v>
      </c>
      <c r="C275" s="24" t="s">
        <v>181</v>
      </c>
      <c r="D275" s="25" t="s">
        <v>1485</v>
      </c>
      <c r="E275" s="25" t="s">
        <v>1486</v>
      </c>
      <c r="F275" s="25" t="s">
        <v>1487</v>
      </c>
      <c r="G275" s="26">
        <v>59034</v>
      </c>
      <c r="J275" s="25" t="s">
        <v>187</v>
      </c>
      <c r="K275" s="28">
        <v>0.09</v>
      </c>
      <c r="L275" s="24" t="s">
        <v>147</v>
      </c>
      <c r="M275" s="25" t="s">
        <v>95</v>
      </c>
      <c r="N275" s="24" t="s">
        <v>347</v>
      </c>
      <c r="O275" s="29">
        <v>24</v>
      </c>
      <c r="Q275" s="31">
        <v>446300</v>
      </c>
      <c r="R275" s="31"/>
      <c r="S275" s="31"/>
      <c r="T275" s="31"/>
      <c r="W275" s="34">
        <v>35496</v>
      </c>
      <c r="Y275" s="34">
        <f t="shared" si="35"/>
        <v>35496</v>
      </c>
      <c r="Z275" s="35">
        <f t="shared" si="36"/>
        <v>40609</v>
      </c>
      <c r="AA275" s="36">
        <v>35</v>
      </c>
      <c r="AB275" s="35">
        <f t="shared" si="40"/>
        <v>53393</v>
      </c>
      <c r="AC275" s="25" t="s">
        <v>1488</v>
      </c>
      <c r="AD275" s="25" t="s">
        <v>1350</v>
      </c>
      <c r="AE275" s="25" t="s">
        <v>1489</v>
      </c>
      <c r="AF275" s="25" t="s">
        <v>1352</v>
      </c>
      <c r="AG275" s="25" t="s">
        <v>1353</v>
      </c>
      <c r="AH275" s="25">
        <v>54601</v>
      </c>
      <c r="AI275" s="37"/>
      <c r="AJ275" s="25" t="s">
        <v>1401</v>
      </c>
      <c r="AL275" s="24">
        <f t="shared" si="39"/>
        <v>24</v>
      </c>
      <c r="AO275" s="25">
        <v>24</v>
      </c>
      <c r="BJ275" s="40">
        <v>1201303</v>
      </c>
      <c r="BK275" s="40">
        <f>VLOOKUP(M275,[1]EconBenMult!$B$12:$D$14,2,TRUE)*(BJ275/1000000)</f>
        <v>14.45167509</v>
      </c>
      <c r="BL275" s="31">
        <f>VLOOKUP(M275,[1]EconBenMult!$B$12:$D$14,3,TRUE)*(BJ275/1000000)</f>
        <v>839985.71519154997</v>
      </c>
    </row>
    <row r="276" spans="1:68" ht="15" customHeight="1" x14ac:dyDescent="0.2">
      <c r="A276" s="34">
        <v>35125</v>
      </c>
      <c r="B276" s="24">
        <v>1996</v>
      </c>
      <c r="C276" s="24" t="s">
        <v>181</v>
      </c>
      <c r="D276" s="25" t="s">
        <v>1490</v>
      </c>
      <c r="E276" s="25" t="s">
        <v>1491</v>
      </c>
      <c r="F276" s="25" t="s">
        <v>103</v>
      </c>
      <c r="G276" s="26">
        <v>59601</v>
      </c>
      <c r="J276" s="44" t="s">
        <v>104</v>
      </c>
      <c r="K276" s="28">
        <v>0.09</v>
      </c>
      <c r="L276" s="24" t="s">
        <v>147</v>
      </c>
      <c r="M276" s="25" t="s">
        <v>95</v>
      </c>
      <c r="N276" s="24" t="s">
        <v>347</v>
      </c>
      <c r="O276" s="29">
        <v>38</v>
      </c>
      <c r="P276" s="24">
        <v>1</v>
      </c>
      <c r="Q276" s="31">
        <v>1828860</v>
      </c>
      <c r="R276" s="31"/>
      <c r="S276" s="31"/>
      <c r="T276" s="31"/>
      <c r="W276" s="34">
        <v>35734</v>
      </c>
      <c r="Y276" s="34">
        <f t="shared" si="35"/>
        <v>35734</v>
      </c>
      <c r="Z276" s="35">
        <f t="shared" si="36"/>
        <v>40847</v>
      </c>
      <c r="AA276" s="36">
        <v>35</v>
      </c>
      <c r="AB276" s="35">
        <f t="shared" si="40"/>
        <v>53631</v>
      </c>
      <c r="AC276" s="25" t="s">
        <v>1415</v>
      </c>
      <c r="AD276" s="25" t="s">
        <v>1416</v>
      </c>
      <c r="AE276" s="25" t="s">
        <v>1417</v>
      </c>
      <c r="AF276" s="25" t="s">
        <v>666</v>
      </c>
      <c r="AG276" s="25" t="s">
        <v>67</v>
      </c>
      <c r="AH276" s="25">
        <v>59604</v>
      </c>
      <c r="AI276" s="37"/>
      <c r="AJ276" s="25" t="s">
        <v>1492</v>
      </c>
      <c r="AL276" s="24">
        <f t="shared" si="39"/>
        <v>38</v>
      </c>
      <c r="AO276" s="25">
        <f>27+7</f>
        <v>34</v>
      </c>
      <c r="AP276" s="25">
        <v>4</v>
      </c>
      <c r="BJ276" s="40">
        <v>2229444</v>
      </c>
      <c r="BK276" s="40">
        <f>VLOOKUP(M276,[1]EconBenMult!$B$12:$D$14,2,TRUE)*(BJ276/1000000)</f>
        <v>26.820211319999999</v>
      </c>
      <c r="BL276" s="31">
        <f>VLOOKUP(M276,[1]EconBenMult!$B$12:$D$14,3,TRUE)*(BJ276/1000000)</f>
        <v>1558891.5642593999</v>
      </c>
    </row>
    <row r="277" spans="1:68" ht="15" customHeight="1" x14ac:dyDescent="0.2">
      <c r="A277" s="34" t="s">
        <v>1493</v>
      </c>
      <c r="B277" s="24">
        <v>1995</v>
      </c>
      <c r="C277" s="24" t="s">
        <v>181</v>
      </c>
      <c r="D277" s="25" t="s">
        <v>1494</v>
      </c>
      <c r="E277" s="25" t="s">
        <v>1495</v>
      </c>
      <c r="F277" s="25" t="s">
        <v>83</v>
      </c>
      <c r="G277" s="26">
        <v>59405</v>
      </c>
      <c r="J277" s="25" t="s">
        <v>84</v>
      </c>
      <c r="K277" s="28">
        <v>0.09</v>
      </c>
      <c r="L277" s="24" t="s">
        <v>147</v>
      </c>
      <c r="M277" s="25" t="s">
        <v>95</v>
      </c>
      <c r="N277" s="24" t="s">
        <v>62</v>
      </c>
      <c r="O277" s="29">
        <v>47</v>
      </c>
      <c r="Q277" s="31">
        <v>2194910</v>
      </c>
      <c r="R277" s="31"/>
      <c r="S277" s="31"/>
      <c r="T277" s="31"/>
      <c r="W277" s="34">
        <v>35277</v>
      </c>
      <c r="Y277" s="34">
        <f t="shared" si="35"/>
        <v>35277</v>
      </c>
      <c r="Z277" s="35">
        <f t="shared" si="36"/>
        <v>40390</v>
      </c>
      <c r="AA277" s="36">
        <v>16</v>
      </c>
      <c r="AB277" s="35">
        <f t="shared" si="40"/>
        <v>46234</v>
      </c>
      <c r="AC277" s="25" t="s">
        <v>1496</v>
      </c>
      <c r="AD277" s="25" t="s">
        <v>1497</v>
      </c>
      <c r="AE277" s="25" t="s">
        <v>1498</v>
      </c>
      <c r="AF277" s="25" t="s">
        <v>1499</v>
      </c>
      <c r="AG277" s="25" t="s">
        <v>67</v>
      </c>
      <c r="AH277" s="25">
        <v>59405</v>
      </c>
      <c r="AI277" s="37"/>
      <c r="AJ277" s="25" t="s">
        <v>1500</v>
      </c>
      <c r="AL277" s="24">
        <v>47</v>
      </c>
      <c r="AP277" s="25">
        <v>15</v>
      </c>
      <c r="AQ277" s="25">
        <v>32</v>
      </c>
      <c r="BJ277" s="40">
        <v>2570296</v>
      </c>
      <c r="BK277" s="40">
        <f>VLOOKUP(M277,[1]EconBenMult!$B$12:$D$14,2,TRUE)*(BJ277/1000000)</f>
        <v>30.920660879999996</v>
      </c>
      <c r="BL277" s="31">
        <f>VLOOKUP(M277,[1]EconBenMult!$B$12:$D$14,3,TRUE)*(BJ277/1000000)</f>
        <v>1797225.1162395999</v>
      </c>
    </row>
    <row r="278" spans="1:68" ht="15" customHeight="1" x14ac:dyDescent="0.2">
      <c r="A278" s="34" t="s">
        <v>1493</v>
      </c>
      <c r="B278" s="24">
        <v>1995</v>
      </c>
      <c r="C278" s="24" t="s">
        <v>181</v>
      </c>
      <c r="D278" s="25" t="s">
        <v>1501</v>
      </c>
      <c r="E278" s="25" t="s">
        <v>1502</v>
      </c>
      <c r="F278" s="25" t="s">
        <v>83</v>
      </c>
      <c r="G278" s="26">
        <v>59405</v>
      </c>
      <c r="J278" s="25" t="s">
        <v>84</v>
      </c>
      <c r="K278" s="28">
        <v>0.09</v>
      </c>
      <c r="L278" s="24" t="s">
        <v>147</v>
      </c>
      <c r="M278" s="25" t="s">
        <v>95</v>
      </c>
      <c r="N278" s="24" t="s">
        <v>62</v>
      </c>
      <c r="O278" s="29">
        <v>20</v>
      </c>
      <c r="Q278" s="31">
        <v>1207620</v>
      </c>
      <c r="R278" s="31"/>
      <c r="S278" s="31"/>
      <c r="T278" s="31"/>
      <c r="W278" s="34">
        <v>35068</v>
      </c>
      <c r="Y278" s="34">
        <f t="shared" si="35"/>
        <v>35068</v>
      </c>
      <c r="Z278" s="35">
        <f t="shared" si="36"/>
        <v>40182</v>
      </c>
      <c r="AA278" s="36">
        <v>15</v>
      </c>
      <c r="AB278" s="35">
        <f t="shared" si="40"/>
        <v>45661</v>
      </c>
      <c r="AC278" s="25" t="s">
        <v>1503</v>
      </c>
      <c r="AD278" s="25" t="s">
        <v>1504</v>
      </c>
      <c r="AE278" s="25" t="s">
        <v>1505</v>
      </c>
      <c r="AF278" s="25" t="s">
        <v>1378</v>
      </c>
      <c r="AG278" s="25" t="s">
        <v>67</v>
      </c>
      <c r="AH278" s="25">
        <v>59103</v>
      </c>
      <c r="AI278" s="37"/>
      <c r="AJ278" s="25" t="s">
        <v>1506</v>
      </c>
      <c r="AL278" s="24">
        <v>20</v>
      </c>
      <c r="AP278" s="25">
        <v>10</v>
      </c>
      <c r="AQ278" s="25">
        <v>10</v>
      </c>
      <c r="BJ278" s="40">
        <v>1128000</v>
      </c>
      <c r="BK278" s="40">
        <f>VLOOKUP(M278,[1]EconBenMult!$B$12:$D$14,2,TRUE)*(BJ278/1000000)</f>
        <v>13.569839999999997</v>
      </c>
      <c r="BL278" s="31">
        <f>VLOOKUP(M278,[1]EconBenMult!$B$12:$D$14,3,TRUE)*(BJ278/1000000)</f>
        <v>788730.14279999991</v>
      </c>
    </row>
    <row r="279" spans="1:68" ht="15" customHeight="1" x14ac:dyDescent="0.2">
      <c r="A279" s="34" t="s">
        <v>1507</v>
      </c>
      <c r="B279" s="24">
        <v>1995</v>
      </c>
      <c r="C279" s="24" t="s">
        <v>181</v>
      </c>
      <c r="D279" s="25" t="s">
        <v>1508</v>
      </c>
      <c r="E279" s="25" t="s">
        <v>1509</v>
      </c>
      <c r="F279" s="25" t="s">
        <v>108</v>
      </c>
      <c r="G279" s="26">
        <v>59802</v>
      </c>
      <c r="H279" s="27">
        <v>46.880940000000002</v>
      </c>
      <c r="I279" s="27">
        <v>-114.01765</v>
      </c>
      <c r="J279" s="25" t="s">
        <v>108</v>
      </c>
      <c r="K279" s="28">
        <v>0.09</v>
      </c>
      <c r="L279" s="24" t="s">
        <v>147</v>
      </c>
      <c r="M279" s="25" t="s">
        <v>95</v>
      </c>
      <c r="N279" s="24" t="s">
        <v>62</v>
      </c>
      <c r="O279" s="29">
        <v>8</v>
      </c>
      <c r="P279" s="24">
        <v>2</v>
      </c>
      <c r="Q279" s="31">
        <v>161740</v>
      </c>
      <c r="R279" s="31"/>
      <c r="S279" s="31"/>
      <c r="T279" s="31"/>
      <c r="W279" s="34">
        <v>35312</v>
      </c>
      <c r="Y279" s="34">
        <f t="shared" si="35"/>
        <v>35312</v>
      </c>
      <c r="Z279" s="35">
        <f t="shared" si="36"/>
        <v>40425</v>
      </c>
      <c r="AA279" s="36">
        <v>15</v>
      </c>
      <c r="AB279" s="35">
        <f t="shared" si="40"/>
        <v>45904</v>
      </c>
      <c r="AC279" s="25" t="s">
        <v>1510</v>
      </c>
      <c r="AD279" s="25" t="s">
        <v>1511</v>
      </c>
      <c r="AE279" s="25" t="s">
        <v>1512</v>
      </c>
      <c r="AF279" s="25" t="s">
        <v>745</v>
      </c>
      <c r="AG279" s="25" t="s">
        <v>67</v>
      </c>
      <c r="AH279" s="25">
        <v>59802</v>
      </c>
      <c r="AI279" s="37"/>
      <c r="AJ279" s="25" t="s">
        <v>1513</v>
      </c>
      <c r="AL279" s="24">
        <v>8</v>
      </c>
      <c r="AO279" s="25">
        <v>8</v>
      </c>
      <c r="BJ279" s="40">
        <v>389890</v>
      </c>
      <c r="BK279" s="40">
        <f>VLOOKUP(M279,[1]EconBenMult!$B$12:$D$14,2,TRUE)*(BJ279/1000000)</f>
        <v>4.6903766999999998</v>
      </c>
      <c r="BL279" s="31">
        <f>VLOOKUP(M279,[1]EconBenMult!$B$12:$D$14,3,TRUE)*(BJ279/1000000)</f>
        <v>272622.33632649999</v>
      </c>
    </row>
    <row r="280" spans="1:68" ht="15" customHeight="1" x14ac:dyDescent="0.2">
      <c r="A280" s="34" t="s">
        <v>1514</v>
      </c>
      <c r="B280" s="24">
        <v>1994</v>
      </c>
      <c r="C280" s="24" t="s">
        <v>181</v>
      </c>
      <c r="D280" s="25" t="s">
        <v>1515</v>
      </c>
      <c r="E280" s="25" t="s">
        <v>1516</v>
      </c>
      <c r="F280" s="25" t="s">
        <v>93</v>
      </c>
      <c r="G280" s="26">
        <v>59715</v>
      </c>
      <c r="J280" s="25" t="s">
        <v>94</v>
      </c>
      <c r="K280" s="28">
        <v>0.09</v>
      </c>
      <c r="L280" s="24" t="s">
        <v>147</v>
      </c>
      <c r="M280" s="25" t="s">
        <v>95</v>
      </c>
      <c r="N280" s="24" t="s">
        <v>62</v>
      </c>
      <c r="O280" s="29">
        <v>24</v>
      </c>
      <c r="Q280" s="31">
        <v>1095304</v>
      </c>
      <c r="R280" s="31"/>
      <c r="S280" s="31"/>
      <c r="T280" s="31"/>
      <c r="W280" s="34">
        <v>35282</v>
      </c>
      <c r="Y280" s="34">
        <f t="shared" si="35"/>
        <v>35282</v>
      </c>
      <c r="Z280" s="35">
        <f t="shared" si="36"/>
        <v>40395</v>
      </c>
      <c r="AA280" s="36">
        <v>25</v>
      </c>
      <c r="AB280" s="35">
        <f t="shared" si="40"/>
        <v>49526</v>
      </c>
      <c r="AC280" s="25" t="s">
        <v>1517</v>
      </c>
      <c r="AD280" s="25" t="s">
        <v>1051</v>
      </c>
      <c r="AE280" s="25" t="s">
        <v>1143</v>
      </c>
      <c r="AF280" s="25" t="s">
        <v>986</v>
      </c>
      <c r="AG280" s="25" t="s">
        <v>67</v>
      </c>
      <c r="AH280" s="25">
        <v>59718</v>
      </c>
      <c r="AI280" s="37"/>
      <c r="AJ280" s="25" t="s">
        <v>1467</v>
      </c>
      <c r="AL280" s="24">
        <v>24</v>
      </c>
      <c r="AO280" s="25">
        <v>8</v>
      </c>
      <c r="AP280" s="25">
        <v>16</v>
      </c>
      <c r="BJ280" s="40">
        <v>1364978</v>
      </c>
      <c r="BK280" s="40">
        <f>VLOOKUP(M280,[1]EconBenMult!$B$12:$D$14,2,TRUE)*(BJ280/1000000)</f>
        <v>16.420685339999999</v>
      </c>
      <c r="BL280" s="31">
        <f>VLOOKUP(M280,[1]EconBenMult!$B$12:$D$14,3,TRUE)*(BJ280/1000000)</f>
        <v>954431.99721529998</v>
      </c>
    </row>
    <row r="281" spans="1:68" ht="15" customHeight="1" x14ac:dyDescent="0.2">
      <c r="A281" s="34" t="s">
        <v>1514</v>
      </c>
      <c r="B281" s="24">
        <v>1994</v>
      </c>
      <c r="C281" s="24" t="s">
        <v>181</v>
      </c>
      <c r="D281" s="25" t="s">
        <v>1518</v>
      </c>
      <c r="E281" s="25" t="s">
        <v>1519</v>
      </c>
      <c r="F281" s="25" t="s">
        <v>568</v>
      </c>
      <c r="G281" s="26">
        <v>59714</v>
      </c>
      <c r="J281" s="25" t="s">
        <v>94</v>
      </c>
      <c r="K281" s="28">
        <v>0.09</v>
      </c>
      <c r="L281" s="24" t="s">
        <v>147</v>
      </c>
      <c r="M281" s="25" t="s">
        <v>95</v>
      </c>
      <c r="N281" s="24" t="s">
        <v>62</v>
      </c>
      <c r="O281" s="29">
        <v>32</v>
      </c>
      <c r="P281" s="24">
        <v>4</v>
      </c>
      <c r="Q281" s="31">
        <v>1339500</v>
      </c>
      <c r="R281" s="31"/>
      <c r="S281" s="31"/>
      <c r="T281" s="31"/>
      <c r="W281" s="34">
        <v>35088</v>
      </c>
      <c r="Y281" s="34">
        <f t="shared" si="35"/>
        <v>35088</v>
      </c>
      <c r="Z281" s="35">
        <f t="shared" si="36"/>
        <v>40202</v>
      </c>
      <c r="AA281" s="36">
        <v>15</v>
      </c>
      <c r="AB281" s="35">
        <f t="shared" si="40"/>
        <v>45681</v>
      </c>
      <c r="AC281" s="25" t="s">
        <v>1476</v>
      </c>
      <c r="AD281" s="25" t="s">
        <v>1051</v>
      </c>
      <c r="AE281" s="25" t="s">
        <v>1143</v>
      </c>
      <c r="AF281" s="25" t="s">
        <v>986</v>
      </c>
      <c r="AG281" s="25" t="s">
        <v>67</v>
      </c>
      <c r="AH281" s="25">
        <v>59771</v>
      </c>
      <c r="AI281" s="37"/>
      <c r="AJ281" s="25" t="s">
        <v>987</v>
      </c>
      <c r="AL281" s="24">
        <v>32</v>
      </c>
      <c r="AO281" s="25">
        <v>8</v>
      </c>
      <c r="AP281" s="25">
        <v>24</v>
      </c>
      <c r="BJ281" s="40">
        <v>1606868</v>
      </c>
      <c r="BK281" s="40">
        <f>VLOOKUP(M281,[1]EconBenMult!$B$12:$D$14,2,TRUE)*(BJ281/1000000)</f>
        <v>19.330622039999998</v>
      </c>
      <c r="BL281" s="31">
        <f>VLOOKUP(M281,[1]EconBenMult!$B$12:$D$14,3,TRUE)*(BJ281/1000000)</f>
        <v>1123568.4637418</v>
      </c>
    </row>
    <row r="282" spans="1:68" ht="15" customHeight="1" x14ac:dyDescent="0.2">
      <c r="A282" s="34" t="s">
        <v>1520</v>
      </c>
      <c r="B282" s="24">
        <v>1994</v>
      </c>
      <c r="C282" s="24" t="s">
        <v>181</v>
      </c>
      <c r="D282" s="25" t="s">
        <v>1521</v>
      </c>
      <c r="E282" s="25" t="s">
        <v>1522</v>
      </c>
      <c r="F282" s="25" t="s">
        <v>108</v>
      </c>
      <c r="G282" s="26">
        <v>59801</v>
      </c>
      <c r="J282" s="25" t="s">
        <v>108</v>
      </c>
      <c r="K282" s="28">
        <v>0.09</v>
      </c>
      <c r="L282" s="24" t="s">
        <v>147</v>
      </c>
      <c r="M282" s="25" t="s">
        <v>95</v>
      </c>
      <c r="N282" s="24" t="s">
        <v>62</v>
      </c>
      <c r="O282" s="29">
        <v>6</v>
      </c>
      <c r="Q282" s="31">
        <v>391370</v>
      </c>
      <c r="R282" s="31"/>
      <c r="S282" s="31"/>
      <c r="T282" s="31"/>
      <c r="W282" s="34">
        <v>34943</v>
      </c>
      <c r="Y282" s="34">
        <f t="shared" si="35"/>
        <v>34943</v>
      </c>
      <c r="Z282" s="35">
        <f t="shared" si="36"/>
        <v>40057</v>
      </c>
      <c r="AA282" s="36">
        <v>15</v>
      </c>
      <c r="AB282" s="35">
        <f t="shared" si="40"/>
        <v>45536</v>
      </c>
      <c r="AC282" s="25" t="s">
        <v>1523</v>
      </c>
      <c r="AE282" s="25" t="s">
        <v>1524</v>
      </c>
      <c r="AF282" s="25" t="s">
        <v>745</v>
      </c>
      <c r="AG282" s="25" t="s">
        <v>67</v>
      </c>
      <c r="AH282" s="25">
        <v>59802</v>
      </c>
      <c r="AI282" s="37"/>
      <c r="AJ282" s="25" t="s">
        <v>1525</v>
      </c>
      <c r="AL282" s="24">
        <v>6</v>
      </c>
      <c r="AP282" s="25">
        <v>2</v>
      </c>
      <c r="AQ282" s="25">
        <v>4</v>
      </c>
      <c r="BJ282" s="40">
        <v>519770</v>
      </c>
      <c r="BK282" s="40">
        <f>VLOOKUP(M282,[1]EconBenMult!$B$12:$D$14,2,TRUE)*(BJ282/1000000)</f>
        <v>6.2528330999999993</v>
      </c>
      <c r="BL282" s="31">
        <f>VLOOKUP(M282,[1]EconBenMult!$B$12:$D$14,3,TRUE)*(BJ282/1000000)</f>
        <v>363438.17936449993</v>
      </c>
    </row>
    <row r="283" spans="1:68" ht="15" customHeight="1" x14ac:dyDescent="0.2">
      <c r="A283" s="34" t="s">
        <v>1520</v>
      </c>
      <c r="B283" s="24">
        <v>1994</v>
      </c>
      <c r="C283" s="24" t="s">
        <v>181</v>
      </c>
      <c r="D283" s="25" t="s">
        <v>1526</v>
      </c>
      <c r="E283" s="25" t="s">
        <v>1527</v>
      </c>
      <c r="F283" s="25" t="s">
        <v>108</v>
      </c>
      <c r="G283" s="26">
        <v>59801</v>
      </c>
      <c r="J283" s="25" t="s">
        <v>108</v>
      </c>
      <c r="K283" s="28">
        <v>0.09</v>
      </c>
      <c r="L283" s="24" t="s">
        <v>147</v>
      </c>
      <c r="M283" s="25" t="s">
        <v>95</v>
      </c>
      <c r="N283" s="24" t="s">
        <v>62</v>
      </c>
      <c r="O283" s="29">
        <v>6</v>
      </c>
      <c r="Q283" s="31">
        <v>389320</v>
      </c>
      <c r="R283" s="31"/>
      <c r="S283" s="31"/>
      <c r="T283" s="31"/>
      <c r="W283" s="34">
        <v>35020</v>
      </c>
      <c r="Y283" s="34">
        <f t="shared" si="35"/>
        <v>35020</v>
      </c>
      <c r="Z283" s="35">
        <f t="shared" si="36"/>
        <v>40134</v>
      </c>
      <c r="AA283" s="36">
        <v>15</v>
      </c>
      <c r="AB283" s="35">
        <f t="shared" si="40"/>
        <v>45613</v>
      </c>
      <c r="AC283" s="25" t="s">
        <v>1523</v>
      </c>
      <c r="AE283" s="25" t="s">
        <v>1524</v>
      </c>
      <c r="AF283" s="25" t="s">
        <v>745</v>
      </c>
      <c r="AG283" s="25" t="s">
        <v>67</v>
      </c>
      <c r="AH283" s="25">
        <v>59802</v>
      </c>
      <c r="AI283" s="37"/>
      <c r="AJ283" s="25" t="s">
        <v>1525</v>
      </c>
      <c r="AL283" s="24">
        <v>6</v>
      </c>
      <c r="AP283" s="25">
        <v>2</v>
      </c>
      <c r="AQ283" s="25">
        <v>4</v>
      </c>
      <c r="BJ283" s="40">
        <v>513242</v>
      </c>
      <c r="BK283" s="40">
        <f>VLOOKUP(M283,[1]EconBenMult!$B$12:$D$14,2,TRUE)*(BJ283/1000000)</f>
        <v>6.1743012599999991</v>
      </c>
      <c r="BL283" s="31">
        <f>VLOOKUP(M283,[1]EconBenMult!$B$12:$D$14,3,TRUE)*(BJ283/1000000)</f>
        <v>358873.61343169998</v>
      </c>
    </row>
    <row r="284" spans="1:68" x14ac:dyDescent="0.2">
      <c r="A284" s="34" t="s">
        <v>1520</v>
      </c>
      <c r="B284" s="24">
        <v>1994</v>
      </c>
      <c r="C284" s="24" t="s">
        <v>181</v>
      </c>
      <c r="D284" s="25" t="s">
        <v>1528</v>
      </c>
      <c r="E284" s="25" t="s">
        <v>1529</v>
      </c>
      <c r="F284" s="25" t="s">
        <v>108</v>
      </c>
      <c r="G284" s="26">
        <v>59801</v>
      </c>
      <c r="J284" s="25" t="s">
        <v>108</v>
      </c>
      <c r="K284" s="28">
        <v>0.09</v>
      </c>
      <c r="L284" s="24" t="s">
        <v>147</v>
      </c>
      <c r="M284" s="25" t="s">
        <v>95</v>
      </c>
      <c r="N284" s="24" t="s">
        <v>62</v>
      </c>
      <c r="O284" s="29">
        <v>6</v>
      </c>
      <c r="Q284" s="31">
        <v>383140</v>
      </c>
      <c r="R284" s="31"/>
      <c r="S284" s="31"/>
      <c r="T284" s="31"/>
      <c r="W284" s="34">
        <v>34909</v>
      </c>
      <c r="Y284" s="34">
        <f t="shared" si="35"/>
        <v>34909</v>
      </c>
      <c r="Z284" s="35">
        <f t="shared" si="36"/>
        <v>40023</v>
      </c>
      <c r="AA284" s="36">
        <v>15</v>
      </c>
      <c r="AB284" s="35">
        <f t="shared" si="40"/>
        <v>45502</v>
      </c>
      <c r="AC284" s="25" t="s">
        <v>1523</v>
      </c>
      <c r="AE284" s="25" t="s">
        <v>1524</v>
      </c>
      <c r="AF284" s="25" t="s">
        <v>745</v>
      </c>
      <c r="AG284" s="25" t="s">
        <v>67</v>
      </c>
      <c r="AH284" s="25">
        <v>59802</v>
      </c>
      <c r="AI284" s="37"/>
      <c r="AJ284" s="25" t="s">
        <v>1525</v>
      </c>
      <c r="AL284" s="24">
        <v>6</v>
      </c>
      <c r="AP284" s="25">
        <v>2</v>
      </c>
      <c r="AQ284" s="25">
        <v>4</v>
      </c>
      <c r="BJ284" s="40">
        <v>488367</v>
      </c>
      <c r="BK284" s="40">
        <f>VLOOKUP(M284,[1]EconBenMult!$B$12:$D$14,2,TRUE)*(BJ284/1000000)</f>
        <v>5.8750550099999996</v>
      </c>
      <c r="BL284" s="31">
        <f>VLOOKUP(M284,[1]EconBenMult!$B$12:$D$14,3,TRUE)*(BJ284/1000000)</f>
        <v>341480.29578794999</v>
      </c>
    </row>
    <row r="285" spans="1:68" x14ac:dyDescent="0.2">
      <c r="A285" s="34" t="s">
        <v>1530</v>
      </c>
      <c r="B285" s="24">
        <v>1994</v>
      </c>
      <c r="C285" s="24" t="s">
        <v>181</v>
      </c>
      <c r="D285" s="25" t="s">
        <v>1531</v>
      </c>
      <c r="E285" s="25" t="s">
        <v>1532</v>
      </c>
      <c r="F285" s="25" t="s">
        <v>316</v>
      </c>
      <c r="G285" s="26">
        <v>59047</v>
      </c>
      <c r="J285" s="25" t="s">
        <v>317</v>
      </c>
      <c r="K285" s="28">
        <v>0.09</v>
      </c>
      <c r="L285" s="24" t="s">
        <v>147</v>
      </c>
      <c r="M285" s="25" t="s">
        <v>61</v>
      </c>
      <c r="N285" s="24" t="s">
        <v>62</v>
      </c>
      <c r="O285" s="29">
        <v>24</v>
      </c>
      <c r="Q285" s="31">
        <v>326440</v>
      </c>
      <c r="R285" s="31"/>
      <c r="S285" s="31"/>
      <c r="T285" s="31"/>
      <c r="W285" s="34">
        <v>35148</v>
      </c>
      <c r="Y285" s="34">
        <f t="shared" ref="Y285:Y337" si="41">IF(W285&gt;X285,W285,X285)</f>
        <v>35148</v>
      </c>
      <c r="Z285" s="35">
        <f t="shared" ref="Z285:Z337" si="42">DATE(YEAR(Y285)+14,MONTH(Y285),DAY(Y285))</f>
        <v>40261</v>
      </c>
      <c r="AA285" s="36">
        <v>15</v>
      </c>
      <c r="AB285" s="35">
        <f t="shared" si="40"/>
        <v>45740</v>
      </c>
      <c r="AC285" s="25" t="s">
        <v>1533</v>
      </c>
      <c r="AD285" s="25" t="s">
        <v>1534</v>
      </c>
      <c r="AE285" s="25" t="s">
        <v>1535</v>
      </c>
      <c r="AF285" s="25" t="s">
        <v>1536</v>
      </c>
      <c r="AG285" s="25" t="s">
        <v>216</v>
      </c>
      <c r="AH285" s="25">
        <v>83705</v>
      </c>
      <c r="AI285" s="37"/>
      <c r="AJ285" s="25" t="s">
        <v>1537</v>
      </c>
      <c r="AL285" s="24">
        <v>24</v>
      </c>
      <c r="AO285" s="25">
        <v>24</v>
      </c>
      <c r="BJ285" s="40">
        <v>937516</v>
      </c>
      <c r="BK285" s="40">
        <f>VLOOKUP(M285,[1]EconBenMult!$B$12:$D$14,2,TRUE)*(BJ285/1000000)</f>
        <v>7.2751241599999998</v>
      </c>
      <c r="BL285" s="31">
        <f>VLOOKUP(M285,[1]EconBenMult!$B$12:$D$14,3,TRUE)*(BJ285/1000000)</f>
        <v>401470.63914863998</v>
      </c>
    </row>
    <row r="286" spans="1:68" x14ac:dyDescent="0.2">
      <c r="A286" s="34" t="s">
        <v>1530</v>
      </c>
      <c r="B286" s="24">
        <v>1994</v>
      </c>
      <c r="C286" s="24" t="s">
        <v>181</v>
      </c>
      <c r="D286" s="25" t="s">
        <v>1538</v>
      </c>
      <c r="E286" s="25" t="s">
        <v>1539</v>
      </c>
      <c r="F286" s="25" t="s">
        <v>1540</v>
      </c>
      <c r="G286" s="26">
        <v>59011</v>
      </c>
      <c r="J286" s="25" t="s">
        <v>1541</v>
      </c>
      <c r="K286" s="28">
        <v>0.09</v>
      </c>
      <c r="L286" s="24" t="s">
        <v>147</v>
      </c>
      <c r="M286" s="25" t="s">
        <v>61</v>
      </c>
      <c r="N286" s="24" t="s">
        <v>62</v>
      </c>
      <c r="O286" s="29">
        <v>24</v>
      </c>
      <c r="Q286" s="31">
        <v>361860</v>
      </c>
      <c r="R286" s="31"/>
      <c r="S286" s="31"/>
      <c r="T286" s="31"/>
      <c r="W286" s="34">
        <v>35148</v>
      </c>
      <c r="Y286" s="34">
        <f t="shared" si="41"/>
        <v>35148</v>
      </c>
      <c r="Z286" s="35">
        <f t="shared" si="42"/>
        <v>40261</v>
      </c>
      <c r="AA286" s="36">
        <v>16</v>
      </c>
      <c r="AB286" s="35">
        <f t="shared" si="40"/>
        <v>46105</v>
      </c>
      <c r="AC286" s="25" t="s">
        <v>1533</v>
      </c>
      <c r="AD286" s="25" t="s">
        <v>1534</v>
      </c>
      <c r="AE286" s="25" t="s">
        <v>1535</v>
      </c>
      <c r="AF286" s="25" t="s">
        <v>1536</v>
      </c>
      <c r="AG286" s="25" t="s">
        <v>216</v>
      </c>
      <c r="AH286" s="25">
        <v>83705</v>
      </c>
      <c r="AI286" s="37"/>
      <c r="AJ286" s="25" t="s">
        <v>1542</v>
      </c>
      <c r="AL286" s="24">
        <v>24</v>
      </c>
      <c r="AO286" s="25">
        <v>24</v>
      </c>
      <c r="BJ286" s="40">
        <v>1149013</v>
      </c>
      <c r="BK286" s="40">
        <f>VLOOKUP(M286,[1]EconBenMult!$B$12:$D$14,2,TRUE)*(BJ286/1000000)</f>
        <v>8.9163408799999999</v>
      </c>
      <c r="BL286" s="31">
        <f>VLOOKUP(M286,[1]EconBenMult!$B$12:$D$14,3,TRUE)*(BJ286/1000000)</f>
        <v>492039.58492451999</v>
      </c>
    </row>
    <row r="287" spans="1:68" x14ac:dyDescent="0.2">
      <c r="A287" s="34" t="s">
        <v>1530</v>
      </c>
      <c r="B287" s="24">
        <v>1994</v>
      </c>
      <c r="C287" s="24" t="s">
        <v>181</v>
      </c>
      <c r="D287" s="25" t="s">
        <v>1543</v>
      </c>
      <c r="E287" s="25" t="s">
        <v>1544</v>
      </c>
      <c r="F287" s="25" t="s">
        <v>1545</v>
      </c>
      <c r="G287" s="26">
        <v>59038</v>
      </c>
      <c r="J287" s="25" t="s">
        <v>1546</v>
      </c>
      <c r="K287" s="28">
        <v>0.09</v>
      </c>
      <c r="L287" s="24" t="s">
        <v>147</v>
      </c>
      <c r="M287" s="25" t="s">
        <v>95</v>
      </c>
      <c r="N287" s="24" t="s">
        <v>62</v>
      </c>
      <c r="O287" s="29">
        <v>12</v>
      </c>
      <c r="Q287" s="31">
        <v>283730</v>
      </c>
      <c r="R287" s="31"/>
      <c r="S287" s="31"/>
      <c r="T287" s="31"/>
      <c r="W287" s="34">
        <v>35148</v>
      </c>
      <c r="Y287" s="34">
        <f t="shared" si="41"/>
        <v>35148</v>
      </c>
      <c r="Z287" s="35">
        <f t="shared" si="42"/>
        <v>40261</v>
      </c>
      <c r="AA287" s="36">
        <v>16</v>
      </c>
      <c r="AB287" s="35">
        <f t="shared" si="40"/>
        <v>46105</v>
      </c>
      <c r="AC287" s="25" t="s">
        <v>1533</v>
      </c>
      <c r="AD287" s="25" t="s">
        <v>1534</v>
      </c>
      <c r="AE287" s="25" t="s">
        <v>1535</v>
      </c>
      <c r="AF287" s="25" t="s">
        <v>1536</v>
      </c>
      <c r="AG287" s="25" t="s">
        <v>216</v>
      </c>
      <c r="AH287" s="25">
        <v>83705</v>
      </c>
      <c r="AI287" s="37"/>
      <c r="AJ287" s="25" t="s">
        <v>1537</v>
      </c>
      <c r="AL287" s="24">
        <v>12</v>
      </c>
      <c r="AO287" s="25">
        <v>8</v>
      </c>
      <c r="AP287" s="25">
        <v>4</v>
      </c>
      <c r="BJ287" s="40">
        <v>765857</v>
      </c>
      <c r="BK287" s="40">
        <f>VLOOKUP(M287,[1]EconBenMult!$B$12:$D$14,2,TRUE)*(BJ287/1000000)</f>
        <v>9.2132597099999991</v>
      </c>
      <c r="BL287" s="31">
        <f>VLOOKUP(M287,[1]EconBenMult!$B$12:$D$14,3,TRUE)*(BJ287/1000000)</f>
        <v>535509.30937445001</v>
      </c>
    </row>
    <row r="288" spans="1:68" s="87" customFormat="1" x14ac:dyDescent="0.2">
      <c r="A288" s="34" t="s">
        <v>1530</v>
      </c>
      <c r="B288" s="24">
        <v>1994</v>
      </c>
      <c r="C288" s="24" t="s">
        <v>181</v>
      </c>
      <c r="D288" s="25" t="s">
        <v>1547</v>
      </c>
      <c r="E288" s="25" t="s">
        <v>1548</v>
      </c>
      <c r="F288" s="25" t="s">
        <v>1549</v>
      </c>
      <c r="G288" s="26">
        <v>59327</v>
      </c>
      <c r="H288" s="27"/>
      <c r="I288" s="27"/>
      <c r="J288" s="25" t="s">
        <v>884</v>
      </c>
      <c r="K288" s="28">
        <v>0.09</v>
      </c>
      <c r="L288" s="24" t="s">
        <v>147</v>
      </c>
      <c r="M288" s="25" t="s">
        <v>61</v>
      </c>
      <c r="N288" s="24" t="s">
        <v>62</v>
      </c>
      <c r="O288" s="29">
        <v>12</v>
      </c>
      <c r="P288" s="24"/>
      <c r="Q288" s="31">
        <v>229150</v>
      </c>
      <c r="R288" s="31"/>
      <c r="S288" s="31"/>
      <c r="T288" s="31"/>
      <c r="U288" s="32"/>
      <c r="V288" s="33"/>
      <c r="W288" s="34">
        <v>35148</v>
      </c>
      <c r="X288" s="34"/>
      <c r="Y288" s="34">
        <f t="shared" si="41"/>
        <v>35148</v>
      </c>
      <c r="Z288" s="35">
        <f t="shared" si="42"/>
        <v>40261</v>
      </c>
      <c r="AA288" s="36">
        <v>15</v>
      </c>
      <c r="AB288" s="35">
        <f t="shared" si="40"/>
        <v>45740</v>
      </c>
      <c r="AC288" s="25" t="s">
        <v>1533</v>
      </c>
      <c r="AD288" s="25" t="s">
        <v>1534</v>
      </c>
      <c r="AE288" s="25" t="s">
        <v>1550</v>
      </c>
      <c r="AF288" s="25" t="s">
        <v>1536</v>
      </c>
      <c r="AG288" s="25" t="s">
        <v>216</v>
      </c>
      <c r="AH288" s="25">
        <v>83705</v>
      </c>
      <c r="AI288" s="37"/>
      <c r="AJ288" s="25" t="s">
        <v>1537</v>
      </c>
      <c r="AK288" s="42"/>
      <c r="AL288" s="24">
        <v>12</v>
      </c>
      <c r="AM288" s="25"/>
      <c r="AN288" s="25"/>
      <c r="AO288" s="25">
        <v>4</v>
      </c>
      <c r="AP288" s="25">
        <v>8</v>
      </c>
      <c r="AQ288" s="25"/>
      <c r="AR288" s="25"/>
      <c r="AS288" s="25"/>
      <c r="AT288" s="25"/>
      <c r="AU288" s="25"/>
      <c r="AV288" s="25"/>
      <c r="AW288" s="86"/>
      <c r="AX288" s="86"/>
      <c r="AY288" s="86"/>
      <c r="AZ288" s="86"/>
      <c r="BA288" s="86"/>
      <c r="BB288" s="86"/>
      <c r="BC288" s="86"/>
      <c r="BD288" s="86"/>
      <c r="BE288" s="86"/>
      <c r="BJ288" s="40">
        <v>820973</v>
      </c>
      <c r="BK288" s="40">
        <f>VLOOKUP(M288,[1]EconBenMult!$B$12:$D$14,2,TRUE)*(BJ288/1000000)</f>
        <v>6.3707504799999999</v>
      </c>
      <c r="BL288" s="31">
        <f>VLOOKUP(M288,[1]EconBenMult!$B$12:$D$14,3,TRUE)*(BJ288/1000000)</f>
        <v>351563.65868291998</v>
      </c>
      <c r="BM288" s="40"/>
      <c r="BN288" s="40"/>
      <c r="BO288" s="40"/>
      <c r="BP288" s="40"/>
    </row>
    <row r="289" spans="1:68" x14ac:dyDescent="0.2">
      <c r="A289" s="34" t="s">
        <v>1530</v>
      </c>
      <c r="B289" s="24">
        <v>1994</v>
      </c>
      <c r="C289" s="24" t="s">
        <v>181</v>
      </c>
      <c r="D289" s="25" t="s">
        <v>1551</v>
      </c>
      <c r="E289" s="25" t="s">
        <v>1552</v>
      </c>
      <c r="F289" s="25" t="s">
        <v>1549</v>
      </c>
      <c r="G289" s="26">
        <v>59327</v>
      </c>
      <c r="J289" s="25" t="s">
        <v>884</v>
      </c>
      <c r="K289" s="28">
        <v>0.09</v>
      </c>
      <c r="L289" s="24" t="s">
        <v>147</v>
      </c>
      <c r="M289" s="25" t="s">
        <v>61</v>
      </c>
      <c r="N289" s="24" t="s">
        <v>62</v>
      </c>
      <c r="O289" s="29">
        <v>24</v>
      </c>
      <c r="P289" s="24">
        <v>1</v>
      </c>
      <c r="Q289" s="31">
        <v>313130</v>
      </c>
      <c r="R289" s="31"/>
      <c r="S289" s="31"/>
      <c r="T289" s="31"/>
      <c r="W289" s="34">
        <v>35148</v>
      </c>
      <c r="Y289" s="34">
        <f t="shared" si="41"/>
        <v>35148</v>
      </c>
      <c r="Z289" s="35">
        <f t="shared" si="42"/>
        <v>40261</v>
      </c>
      <c r="AA289" s="36">
        <v>15</v>
      </c>
      <c r="AB289" s="35">
        <f t="shared" si="40"/>
        <v>45740</v>
      </c>
      <c r="AC289" s="25" t="s">
        <v>1533</v>
      </c>
      <c r="AD289" s="25" t="s">
        <v>1534</v>
      </c>
      <c r="AE289" s="25" t="s">
        <v>1535</v>
      </c>
      <c r="AF289" s="25" t="s">
        <v>1536</v>
      </c>
      <c r="AG289" s="25" t="s">
        <v>216</v>
      </c>
      <c r="AH289" s="25">
        <v>83705</v>
      </c>
      <c r="AI289" s="37"/>
      <c r="AJ289" s="25" t="s">
        <v>1537</v>
      </c>
      <c r="AL289" s="24">
        <v>24</v>
      </c>
      <c r="AO289" s="25">
        <v>24</v>
      </c>
      <c r="BJ289" s="40">
        <v>903418</v>
      </c>
      <c r="BK289" s="40">
        <f>VLOOKUP(M289,[1]EconBenMult!$B$12:$D$14,2,TRUE)*(BJ289/1000000)</f>
        <v>7.0105236800000004</v>
      </c>
      <c r="BL289" s="31">
        <f>VLOOKUP(M289,[1]EconBenMult!$B$12:$D$14,3,TRUE)*(BJ289/1000000)</f>
        <v>386868.91944072</v>
      </c>
    </row>
    <row r="290" spans="1:68" x14ac:dyDescent="0.2">
      <c r="A290" s="89" t="s">
        <v>1530</v>
      </c>
      <c r="B290" s="86">
        <v>1994</v>
      </c>
      <c r="C290" s="86" t="s">
        <v>1441</v>
      </c>
      <c r="D290" s="87" t="s">
        <v>1553</v>
      </c>
      <c r="E290" s="87" t="s">
        <v>1554</v>
      </c>
      <c r="F290" s="87" t="s">
        <v>108</v>
      </c>
      <c r="G290" s="90">
        <v>59801</v>
      </c>
      <c r="H290" s="91"/>
      <c r="I290" s="91"/>
      <c r="J290" s="87" t="s">
        <v>108</v>
      </c>
      <c r="K290" s="93">
        <v>0.09</v>
      </c>
      <c r="L290" s="86" t="s">
        <v>147</v>
      </c>
      <c r="M290" s="87" t="s">
        <v>61</v>
      </c>
      <c r="N290" s="86" t="s">
        <v>62</v>
      </c>
      <c r="O290" s="94">
        <v>60</v>
      </c>
      <c r="P290" s="86"/>
      <c r="Q290" s="98">
        <v>3328000</v>
      </c>
      <c r="R290" s="98"/>
      <c r="S290" s="98"/>
      <c r="T290" s="98"/>
      <c r="U290" s="96"/>
      <c r="V290" s="97"/>
      <c r="W290" s="34">
        <v>35034</v>
      </c>
      <c r="Y290" s="34">
        <f t="shared" si="41"/>
        <v>35034</v>
      </c>
      <c r="Z290" s="35">
        <f t="shared" si="42"/>
        <v>40148</v>
      </c>
      <c r="AA290" s="99">
        <v>15</v>
      </c>
      <c r="AB290" s="35">
        <f t="shared" si="40"/>
        <v>45627</v>
      </c>
      <c r="AC290" s="87" t="s">
        <v>1555</v>
      </c>
      <c r="AD290" s="87" t="s">
        <v>755</v>
      </c>
      <c r="AE290" s="87" t="s">
        <v>1030</v>
      </c>
      <c r="AF290" s="87" t="s">
        <v>745</v>
      </c>
      <c r="AG290" s="87" t="s">
        <v>67</v>
      </c>
      <c r="AH290" s="87">
        <v>59801</v>
      </c>
      <c r="AI290" s="37"/>
      <c r="AJ290" s="87" t="s">
        <v>1556</v>
      </c>
      <c r="AK290" s="100"/>
      <c r="AL290" s="86">
        <v>60</v>
      </c>
      <c r="AM290" s="87"/>
      <c r="AN290" s="87">
        <v>4</v>
      </c>
      <c r="AO290" s="87">
        <v>44</v>
      </c>
      <c r="AP290" s="87">
        <v>12</v>
      </c>
      <c r="AQ290" s="87"/>
      <c r="AR290" s="87"/>
      <c r="AS290" s="87"/>
      <c r="AT290" s="87"/>
      <c r="AU290" s="87"/>
      <c r="AV290" s="87"/>
      <c r="BJ290" s="40">
        <v>4548549</v>
      </c>
      <c r="BK290" s="40">
        <f>VLOOKUP(M290,[1]EconBenMult!$B$12:$D$14,2,TRUE)*(BJ290/1000000)</f>
        <v>35.296740240000005</v>
      </c>
      <c r="BL290" s="31">
        <f>VLOOKUP(M290,[1]EconBenMult!$B$12:$D$14,3,TRUE)*(BJ290/1000000)</f>
        <v>1947816.2231139601</v>
      </c>
    </row>
    <row r="291" spans="1:68" ht="15" customHeight="1" x14ac:dyDescent="0.2">
      <c r="A291" s="34" t="s">
        <v>1530</v>
      </c>
      <c r="B291" s="24">
        <v>1994</v>
      </c>
      <c r="C291" s="24" t="s">
        <v>181</v>
      </c>
      <c r="D291" s="25" t="s">
        <v>1557</v>
      </c>
      <c r="E291" s="25" t="s">
        <v>1558</v>
      </c>
      <c r="F291" s="25" t="s">
        <v>66</v>
      </c>
      <c r="G291" s="26">
        <v>59901</v>
      </c>
      <c r="J291" s="25" t="s">
        <v>59</v>
      </c>
      <c r="K291" s="28">
        <v>0.09</v>
      </c>
      <c r="L291" s="24" t="s">
        <v>147</v>
      </c>
      <c r="M291" s="25" t="s">
        <v>95</v>
      </c>
      <c r="N291" s="24" t="s">
        <v>62</v>
      </c>
      <c r="O291" s="29">
        <v>36</v>
      </c>
      <c r="Q291" s="31">
        <v>1344140</v>
      </c>
      <c r="R291" s="31"/>
      <c r="S291" s="31"/>
      <c r="T291" s="31"/>
      <c r="W291" s="34">
        <v>35061</v>
      </c>
      <c r="Y291" s="34">
        <f t="shared" si="41"/>
        <v>35061</v>
      </c>
      <c r="Z291" s="35">
        <f t="shared" si="42"/>
        <v>40175</v>
      </c>
      <c r="AA291" s="36">
        <v>36</v>
      </c>
      <c r="AB291" s="35">
        <f t="shared" si="40"/>
        <v>53324</v>
      </c>
      <c r="AC291" s="25" t="s">
        <v>1559</v>
      </c>
      <c r="AD291" s="25" t="s">
        <v>1560</v>
      </c>
      <c r="AE291" s="25" t="s">
        <v>1561</v>
      </c>
      <c r="AF291" s="25" t="s">
        <v>1102</v>
      </c>
      <c r="AG291" s="25" t="s">
        <v>67</v>
      </c>
      <c r="AH291" s="25">
        <v>59901</v>
      </c>
      <c r="AI291" s="37"/>
      <c r="AJ291" s="25" t="s">
        <v>1562</v>
      </c>
      <c r="AL291" s="24">
        <v>36</v>
      </c>
      <c r="AN291" s="25">
        <f>5+16</f>
        <v>21</v>
      </c>
      <c r="AO291" s="25">
        <f>4+10</f>
        <v>14</v>
      </c>
      <c r="AP291" s="25">
        <v>1</v>
      </c>
      <c r="BJ291" s="40">
        <v>1356486</v>
      </c>
      <c r="BK291" s="40">
        <f>VLOOKUP(M291,[1]EconBenMult!$B$12:$D$14,2,TRUE)*(BJ291/1000000)</f>
        <v>16.31852658</v>
      </c>
      <c r="BL291" s="31">
        <f>VLOOKUP(M291,[1]EconBenMult!$B$12:$D$14,3,TRUE)*(BJ291/1000000)</f>
        <v>948494.14582109998</v>
      </c>
    </row>
    <row r="292" spans="1:68" x14ac:dyDescent="0.2">
      <c r="A292" s="34" t="s">
        <v>1530</v>
      </c>
      <c r="B292" s="24">
        <v>1994</v>
      </c>
      <c r="C292" s="24" t="s">
        <v>181</v>
      </c>
      <c r="D292" s="25" t="s">
        <v>1563</v>
      </c>
      <c r="E292" s="25" t="s">
        <v>1564</v>
      </c>
      <c r="F292" s="25" t="s">
        <v>113</v>
      </c>
      <c r="G292" s="26">
        <v>59103</v>
      </c>
      <c r="J292" s="25" t="s">
        <v>114</v>
      </c>
      <c r="K292" s="28">
        <v>0.09</v>
      </c>
      <c r="L292" s="24" t="s">
        <v>147</v>
      </c>
      <c r="M292" s="25" t="s">
        <v>95</v>
      </c>
      <c r="N292" s="24" t="s">
        <v>62</v>
      </c>
      <c r="O292" s="29">
        <v>26</v>
      </c>
      <c r="P292" s="24">
        <v>4</v>
      </c>
      <c r="Q292" s="31">
        <v>1733410</v>
      </c>
      <c r="R292" s="31"/>
      <c r="S292" s="31"/>
      <c r="T292" s="31"/>
      <c r="W292" s="34">
        <v>35376</v>
      </c>
      <c r="Y292" s="34">
        <f t="shared" si="41"/>
        <v>35376</v>
      </c>
      <c r="Z292" s="35">
        <f t="shared" si="42"/>
        <v>40489</v>
      </c>
      <c r="AA292" s="36">
        <v>15</v>
      </c>
      <c r="AB292" s="35">
        <f t="shared" si="40"/>
        <v>45968</v>
      </c>
      <c r="AC292" s="25" t="s">
        <v>1565</v>
      </c>
      <c r="AD292" s="25" t="s">
        <v>1504</v>
      </c>
      <c r="AE292" s="25" t="s">
        <v>1505</v>
      </c>
      <c r="AF292" s="25" t="s">
        <v>1378</v>
      </c>
      <c r="AG292" s="25" t="s">
        <v>67</v>
      </c>
      <c r="AH292" s="25" t="s">
        <v>1566</v>
      </c>
      <c r="AI292" s="37"/>
      <c r="AJ292" s="25" t="s">
        <v>1567</v>
      </c>
      <c r="AL292" s="24">
        <v>26</v>
      </c>
      <c r="AP292" s="25">
        <v>12</v>
      </c>
      <c r="AQ292" s="25">
        <v>10</v>
      </c>
      <c r="AR292" s="25">
        <v>4</v>
      </c>
      <c r="BJ292" s="40">
        <v>2417862</v>
      </c>
      <c r="BK292" s="40">
        <f>VLOOKUP(M292,[1]EconBenMult!$B$12:$D$14,2,TRUE)*(BJ292/1000000)</f>
        <v>29.086879859999996</v>
      </c>
      <c r="BL292" s="31">
        <f>VLOOKUP(M292,[1]EconBenMult!$B$12:$D$14,3,TRUE)*(BJ292/1000000)</f>
        <v>1690638.8657187</v>
      </c>
    </row>
    <row r="293" spans="1:68" x14ac:dyDescent="0.2">
      <c r="A293" s="89" t="s">
        <v>1520</v>
      </c>
      <c r="B293" s="86">
        <v>1994</v>
      </c>
      <c r="C293" s="86" t="s">
        <v>1441</v>
      </c>
      <c r="D293" s="87" t="s">
        <v>1568</v>
      </c>
      <c r="E293" s="87" t="s">
        <v>1569</v>
      </c>
      <c r="F293" s="87" t="s">
        <v>1570</v>
      </c>
      <c r="G293" s="90">
        <v>59911</v>
      </c>
      <c r="H293" s="91"/>
      <c r="I293" s="91"/>
      <c r="J293" s="87" t="s">
        <v>59</v>
      </c>
      <c r="K293" s="93">
        <v>0.09</v>
      </c>
      <c r="L293" s="86" t="s">
        <v>147</v>
      </c>
      <c r="M293" s="87" t="s">
        <v>95</v>
      </c>
      <c r="N293" s="86" t="s">
        <v>62</v>
      </c>
      <c r="O293" s="94">
        <v>32</v>
      </c>
      <c r="P293" s="86"/>
      <c r="Q293" s="98">
        <v>469630</v>
      </c>
      <c r="R293" s="98"/>
      <c r="S293" s="98"/>
      <c r="T293" s="98"/>
      <c r="U293" s="96"/>
      <c r="V293" s="97"/>
      <c r="W293" s="34">
        <v>34547</v>
      </c>
      <c r="Y293" s="34">
        <f t="shared" si="41"/>
        <v>34547</v>
      </c>
      <c r="AA293" s="99" t="s">
        <v>558</v>
      </c>
      <c r="AC293" s="87" t="s">
        <v>1571</v>
      </c>
      <c r="AD293" s="87" t="s">
        <v>1572</v>
      </c>
      <c r="AE293" s="87" t="s">
        <v>1573</v>
      </c>
      <c r="AF293" s="87" t="s">
        <v>1574</v>
      </c>
      <c r="AG293" s="87" t="s">
        <v>216</v>
      </c>
      <c r="AH293" s="87">
        <v>83835</v>
      </c>
      <c r="AI293" s="37"/>
      <c r="AJ293" s="87" t="s">
        <v>1575</v>
      </c>
      <c r="AK293" s="100"/>
      <c r="AL293" s="86">
        <v>32</v>
      </c>
      <c r="AM293" s="87"/>
      <c r="AN293" s="87"/>
      <c r="AO293" s="87">
        <v>8</v>
      </c>
      <c r="AP293" s="87">
        <v>20</v>
      </c>
      <c r="AQ293" s="87">
        <v>4</v>
      </c>
      <c r="AR293" s="87"/>
      <c r="AS293" s="87"/>
      <c r="AT293" s="87"/>
      <c r="AU293" s="87"/>
      <c r="AV293" s="87"/>
      <c r="BJ293" s="40">
        <v>1488538</v>
      </c>
      <c r="BK293" s="40">
        <f>VLOOKUP(M293,[1]EconBenMult!$B$12:$D$14,2,TRUE)*(BJ293/1000000)</f>
        <v>17.907112139999999</v>
      </c>
      <c r="BL293" s="31">
        <f>VLOOKUP(M293,[1]EconBenMult!$B$12:$D$14,3,TRUE)*(BJ293/1000000)</f>
        <v>1040828.7139212999</v>
      </c>
    </row>
    <row r="294" spans="1:68" ht="15" customHeight="1" x14ac:dyDescent="0.2">
      <c r="A294" s="34" t="s">
        <v>1576</v>
      </c>
      <c r="B294" s="24">
        <v>1994</v>
      </c>
      <c r="C294" s="24" t="s">
        <v>181</v>
      </c>
      <c r="D294" s="25" t="s">
        <v>1577</v>
      </c>
      <c r="E294" s="25" t="s">
        <v>1578</v>
      </c>
      <c r="F294" s="25" t="s">
        <v>66</v>
      </c>
      <c r="G294" s="26">
        <v>59901</v>
      </c>
      <c r="J294" s="25" t="s">
        <v>59</v>
      </c>
      <c r="K294" s="28">
        <v>0.09</v>
      </c>
      <c r="L294" s="24" t="s">
        <v>147</v>
      </c>
      <c r="M294" s="25" t="s">
        <v>95</v>
      </c>
      <c r="N294" s="24" t="s">
        <v>62</v>
      </c>
      <c r="O294" s="29">
        <v>34</v>
      </c>
      <c r="Q294" s="31">
        <v>685330</v>
      </c>
      <c r="R294" s="31"/>
      <c r="S294" s="31"/>
      <c r="T294" s="31"/>
      <c r="W294" s="34">
        <v>34838</v>
      </c>
      <c r="Y294" s="34">
        <f t="shared" si="41"/>
        <v>34838</v>
      </c>
      <c r="Z294" s="35">
        <f t="shared" si="42"/>
        <v>39952</v>
      </c>
      <c r="AA294" s="36">
        <v>16</v>
      </c>
      <c r="AB294" s="35">
        <f>DATE(YEAR(Z294)+AA294,MONTH(Z294),DAY(Z294))</f>
        <v>45796</v>
      </c>
      <c r="AC294" s="25" t="s">
        <v>1579</v>
      </c>
      <c r="AD294" s="25" t="s">
        <v>1580</v>
      </c>
      <c r="AE294" s="25" t="s">
        <v>1581</v>
      </c>
      <c r="AF294" s="25" t="s">
        <v>1582</v>
      </c>
      <c r="AG294" s="25" t="s">
        <v>89</v>
      </c>
      <c r="AH294" s="25">
        <v>95604</v>
      </c>
      <c r="AI294" s="37"/>
      <c r="AJ294" s="25" t="s">
        <v>1583</v>
      </c>
      <c r="AL294" s="24">
        <v>33</v>
      </c>
      <c r="AO294" s="25">
        <v>8</v>
      </c>
      <c r="AP294" s="25">
        <v>26</v>
      </c>
      <c r="BJ294" s="40">
        <v>1701545</v>
      </c>
      <c r="BK294" s="40">
        <f>VLOOKUP(M294,[1]EconBenMult!$B$12:$D$14,2,TRUE)*(BJ294/1000000)</f>
        <v>20.46958635</v>
      </c>
      <c r="BL294" s="31">
        <f>VLOOKUP(M294,[1]EconBenMult!$B$12:$D$14,3,TRUE)*(BJ294/1000000)</f>
        <v>1189769.3535732501</v>
      </c>
    </row>
    <row r="295" spans="1:68" x14ac:dyDescent="0.2">
      <c r="A295" s="34" t="s">
        <v>1584</v>
      </c>
      <c r="B295" s="24">
        <v>1993</v>
      </c>
      <c r="C295" s="24" t="s">
        <v>181</v>
      </c>
      <c r="D295" s="25" t="s">
        <v>1585</v>
      </c>
      <c r="E295" s="25" t="s">
        <v>1586</v>
      </c>
      <c r="F295" s="25" t="s">
        <v>103</v>
      </c>
      <c r="G295" s="26">
        <v>59601</v>
      </c>
      <c r="J295" s="44" t="s">
        <v>104</v>
      </c>
      <c r="K295" s="28">
        <v>0.09</v>
      </c>
      <c r="L295" s="24" t="s">
        <v>147</v>
      </c>
      <c r="M295" s="25" t="s">
        <v>95</v>
      </c>
      <c r="N295" s="24" t="s">
        <v>62</v>
      </c>
      <c r="O295" s="29">
        <v>36</v>
      </c>
      <c r="Q295" s="31">
        <v>2020000</v>
      </c>
      <c r="R295" s="31"/>
      <c r="S295" s="31"/>
      <c r="T295" s="31"/>
      <c r="W295" s="34">
        <v>35059</v>
      </c>
      <c r="Y295" s="34">
        <f t="shared" si="41"/>
        <v>35059</v>
      </c>
      <c r="Z295" s="35">
        <f t="shared" si="42"/>
        <v>40173</v>
      </c>
      <c r="AA295" s="36">
        <v>15</v>
      </c>
      <c r="AB295" s="35">
        <f>DATE(YEAR(Z295)+AA295,MONTH(Z295),DAY(Z295))</f>
        <v>45652</v>
      </c>
      <c r="AC295" s="25" t="s">
        <v>1587</v>
      </c>
      <c r="AD295" s="25" t="s">
        <v>1588</v>
      </c>
      <c r="AE295" s="25" t="s">
        <v>1589</v>
      </c>
      <c r="AF295" s="26" t="s">
        <v>1378</v>
      </c>
      <c r="AG295" s="26" t="s">
        <v>67</v>
      </c>
      <c r="AH295" s="148">
        <v>59106</v>
      </c>
      <c r="AI295" s="37"/>
      <c r="AJ295" s="26" t="s">
        <v>1590</v>
      </c>
      <c r="AL295" s="24" t="s">
        <v>1591</v>
      </c>
      <c r="AO295" s="25">
        <v>4</v>
      </c>
      <c r="AP295" s="25">
        <v>18</v>
      </c>
      <c r="AQ295" s="25">
        <v>14</v>
      </c>
      <c r="BJ295" s="40">
        <v>2179535</v>
      </c>
      <c r="BK295" s="40">
        <f>VLOOKUP(M295,[1]EconBenMult!$B$12:$D$14,2,TRUE)*(BJ295/1000000)</f>
        <v>26.219806049999999</v>
      </c>
      <c r="BL295" s="31">
        <f>VLOOKUP(M295,[1]EconBenMult!$B$12:$D$14,3,TRUE)*(BJ295/1000000)</f>
        <v>1523993.7515847499</v>
      </c>
    </row>
    <row r="296" spans="1:68" x14ac:dyDescent="0.2">
      <c r="A296" s="34" t="s">
        <v>1584</v>
      </c>
      <c r="B296" s="24">
        <v>1993</v>
      </c>
      <c r="C296" s="24" t="s">
        <v>181</v>
      </c>
      <c r="D296" s="25" t="s">
        <v>1592</v>
      </c>
      <c r="E296" s="25" t="s">
        <v>1593</v>
      </c>
      <c r="F296" s="25" t="s">
        <v>723</v>
      </c>
      <c r="G296" s="26">
        <v>59474</v>
      </c>
      <c r="J296" s="25" t="s">
        <v>724</v>
      </c>
      <c r="K296" s="28">
        <v>0.09</v>
      </c>
      <c r="L296" s="24" t="s">
        <v>147</v>
      </c>
      <c r="M296" s="25" t="s">
        <v>95</v>
      </c>
      <c r="N296" s="24" t="s">
        <v>62</v>
      </c>
      <c r="O296" s="29">
        <v>12</v>
      </c>
      <c r="Q296" s="31">
        <v>169600</v>
      </c>
      <c r="R296" s="31"/>
      <c r="S296" s="31"/>
      <c r="T296" s="31"/>
      <c r="W296" s="34">
        <v>34989</v>
      </c>
      <c r="Y296" s="34">
        <f t="shared" si="41"/>
        <v>34989</v>
      </c>
      <c r="Z296" s="35">
        <f t="shared" si="42"/>
        <v>40103</v>
      </c>
      <c r="AA296" s="36">
        <v>15</v>
      </c>
      <c r="AB296" s="35">
        <f>DATE(YEAR(Z296)+AA296,MONTH(Z296),DAY(Z296))</f>
        <v>45582</v>
      </c>
      <c r="AC296" s="25" t="s">
        <v>1594</v>
      </c>
      <c r="AD296" s="25" t="s">
        <v>1595</v>
      </c>
      <c r="AE296" s="25" t="s">
        <v>1596</v>
      </c>
      <c r="AF296" s="25" t="s">
        <v>1597</v>
      </c>
      <c r="AG296" s="25" t="s">
        <v>141</v>
      </c>
      <c r="AH296" s="25">
        <v>55402</v>
      </c>
      <c r="AI296" s="37"/>
      <c r="AJ296" s="25" t="s">
        <v>1598</v>
      </c>
      <c r="AL296" s="24" t="s">
        <v>1599</v>
      </c>
      <c r="AP296" s="25">
        <v>8</v>
      </c>
      <c r="AQ296" s="25">
        <v>4</v>
      </c>
      <c r="BJ296" s="40">
        <v>487300</v>
      </c>
      <c r="BK296" s="40">
        <f>VLOOKUP(M296,[1]EconBenMult!$B$12:$D$14,2,TRUE)*(BJ296/1000000)</f>
        <v>5.8622189999999996</v>
      </c>
      <c r="BL296" s="31">
        <f>VLOOKUP(M296,[1]EconBenMult!$B$12:$D$14,3,TRUE)*(BJ296/1000000)</f>
        <v>340734.218605</v>
      </c>
    </row>
    <row r="297" spans="1:68" s="122" customFormat="1" x14ac:dyDescent="0.2">
      <c r="A297" s="120" t="s">
        <v>1600</v>
      </c>
      <c r="B297" s="121">
        <v>1993</v>
      </c>
      <c r="C297" s="86" t="s">
        <v>1380</v>
      </c>
      <c r="D297" s="122" t="s">
        <v>1601</v>
      </c>
      <c r="E297" s="122" t="s">
        <v>1602</v>
      </c>
      <c r="F297" s="122" t="s">
        <v>108</v>
      </c>
      <c r="G297" s="123">
        <v>59801</v>
      </c>
      <c r="H297" s="124"/>
      <c r="I297" s="124"/>
      <c r="J297" s="122" t="s">
        <v>108</v>
      </c>
      <c r="K297" s="125">
        <v>0.09</v>
      </c>
      <c r="L297" s="121" t="s">
        <v>147</v>
      </c>
      <c r="M297" s="122" t="s">
        <v>95</v>
      </c>
      <c r="N297" s="121" t="s">
        <v>62</v>
      </c>
      <c r="O297" s="126">
        <v>4</v>
      </c>
      <c r="P297" s="121"/>
      <c r="Q297" s="130">
        <v>140750</v>
      </c>
      <c r="R297" s="130"/>
      <c r="S297" s="130"/>
      <c r="T297" s="130"/>
      <c r="U297" s="128"/>
      <c r="V297" s="129"/>
      <c r="W297" s="120">
        <v>34455</v>
      </c>
      <c r="X297" s="120"/>
      <c r="Y297" s="34">
        <f t="shared" si="41"/>
        <v>34455</v>
      </c>
      <c r="Z297" s="35">
        <f t="shared" si="42"/>
        <v>39569</v>
      </c>
      <c r="AA297" s="132">
        <v>15</v>
      </c>
      <c r="AB297" s="131">
        <f>DATE(YEAR(Z297)+AA297,MONTH(Z297),DAY(Z297))</f>
        <v>45047</v>
      </c>
      <c r="AC297" s="122" t="s">
        <v>1603</v>
      </c>
      <c r="AE297" s="122" t="s">
        <v>1604</v>
      </c>
      <c r="AF297" s="122" t="s">
        <v>745</v>
      </c>
      <c r="AG297" s="122" t="s">
        <v>67</v>
      </c>
      <c r="AH297" s="122">
        <v>59808</v>
      </c>
      <c r="AI297" s="37"/>
      <c r="AJ297" s="122" t="s">
        <v>1605</v>
      </c>
      <c r="AK297" s="134"/>
      <c r="AL297" s="121" t="s">
        <v>1606</v>
      </c>
      <c r="AP297" s="122">
        <v>4</v>
      </c>
      <c r="AW297" s="121"/>
      <c r="AX297" s="121"/>
      <c r="AY297" s="121"/>
      <c r="AZ297" s="121"/>
      <c r="BA297" s="121"/>
      <c r="BB297" s="121"/>
      <c r="BC297" s="121"/>
      <c r="BD297" s="121"/>
      <c r="BE297" s="121"/>
      <c r="BJ297" s="40">
        <v>172632</v>
      </c>
      <c r="BK297" s="40">
        <f>VLOOKUP(M297,[1]EconBenMult!$B$12:$D$14,2,TRUE)*(BJ297/1000000)</f>
        <v>2.0767629599999999</v>
      </c>
      <c r="BL297" s="31">
        <f>VLOOKUP(M297,[1]EconBenMult!$B$12:$D$14,3,TRUE)*(BJ297/1000000)</f>
        <v>120709.2748332</v>
      </c>
      <c r="BM297" s="40"/>
      <c r="BN297" s="40"/>
      <c r="BO297" s="40"/>
      <c r="BP297" s="40"/>
    </row>
    <row r="298" spans="1:68" s="87" customFormat="1" x14ac:dyDescent="0.2">
      <c r="A298" s="89" t="s">
        <v>1607</v>
      </c>
      <c r="B298" s="86">
        <v>1993</v>
      </c>
      <c r="C298" s="86" t="s">
        <v>181</v>
      </c>
      <c r="D298" s="87" t="s">
        <v>1608</v>
      </c>
      <c r="E298" s="87" t="s">
        <v>1609</v>
      </c>
      <c r="F298" s="87" t="s">
        <v>145</v>
      </c>
      <c r="G298" s="90">
        <v>59501</v>
      </c>
      <c r="H298" s="91"/>
      <c r="I298" s="91"/>
      <c r="J298" s="87" t="s">
        <v>146</v>
      </c>
      <c r="K298" s="93">
        <v>0.09</v>
      </c>
      <c r="L298" s="86" t="s">
        <v>147</v>
      </c>
      <c r="M298" s="87" t="s">
        <v>95</v>
      </c>
      <c r="N298" s="86" t="s">
        <v>62</v>
      </c>
      <c r="O298" s="94">
        <v>16</v>
      </c>
      <c r="P298" s="86"/>
      <c r="Q298" s="98">
        <v>212480</v>
      </c>
      <c r="R298" s="98"/>
      <c r="S298" s="98"/>
      <c r="T298" s="98"/>
      <c r="U298" s="96"/>
      <c r="V298" s="97"/>
      <c r="W298" s="89">
        <v>34366</v>
      </c>
      <c r="X298" s="89">
        <v>1995</v>
      </c>
      <c r="Y298" s="89">
        <f t="shared" si="41"/>
        <v>34366</v>
      </c>
      <c r="Z298" s="136">
        <f t="shared" si="42"/>
        <v>39479</v>
      </c>
      <c r="AA298" s="99">
        <v>15</v>
      </c>
      <c r="AB298" s="136">
        <f>DATE(YEAR(Z298)+AA298,MONTH(Z298),DAY(Z298))</f>
        <v>44958</v>
      </c>
      <c r="AC298" s="87" t="s">
        <v>1610</v>
      </c>
      <c r="AD298" s="87" t="s">
        <v>1611</v>
      </c>
      <c r="AE298" s="87" t="s">
        <v>1612</v>
      </c>
      <c r="AF298" s="87" t="s">
        <v>1613</v>
      </c>
      <c r="AG298" s="87" t="s">
        <v>67</v>
      </c>
      <c r="AH298" s="87">
        <v>59501</v>
      </c>
      <c r="AI298" s="137"/>
      <c r="AJ298" s="87" t="s">
        <v>1614</v>
      </c>
      <c r="AK298" s="100"/>
      <c r="AL298" s="86" t="s">
        <v>1615</v>
      </c>
      <c r="AO298" s="87">
        <v>3</v>
      </c>
      <c r="AP298" s="87">
        <v>13</v>
      </c>
      <c r="AW298" s="86"/>
      <c r="AX298" s="86"/>
      <c r="AY298" s="86"/>
      <c r="AZ298" s="86"/>
      <c r="BA298" s="86"/>
      <c r="BB298" s="86"/>
      <c r="BC298" s="86"/>
      <c r="BD298" s="86"/>
      <c r="BE298" s="86"/>
      <c r="BJ298" s="88">
        <v>622843</v>
      </c>
      <c r="BK298" s="88">
        <f>VLOOKUP(M298,[1]EconBenMult!$B$12:$D$14,2,TRUE)*(BJ298/1000000)</f>
        <v>7.4928012900000001</v>
      </c>
      <c r="BL298" s="98">
        <f>VLOOKUP(M298,[1]EconBenMult!$B$12:$D$14,3,TRUE)*(BJ298/1000000)</f>
        <v>435509.79462055</v>
      </c>
      <c r="BM298" s="88"/>
      <c r="BN298" s="88"/>
      <c r="BO298" s="88"/>
      <c r="BP298" s="88"/>
    </row>
    <row r="299" spans="1:68" x14ac:dyDescent="0.2">
      <c r="A299" s="89" t="s">
        <v>1616</v>
      </c>
      <c r="B299" s="86">
        <v>1993</v>
      </c>
      <c r="C299" s="86" t="s">
        <v>1380</v>
      </c>
      <c r="D299" s="87" t="s">
        <v>1617</v>
      </c>
      <c r="E299" s="87" t="s">
        <v>1618</v>
      </c>
      <c r="F299" s="87" t="s">
        <v>231</v>
      </c>
      <c r="G299" s="90">
        <v>59041</v>
      </c>
      <c r="H299" s="91"/>
      <c r="I299" s="91"/>
      <c r="J299" s="87" t="s">
        <v>232</v>
      </c>
      <c r="K299" s="93">
        <v>0.09</v>
      </c>
      <c r="L299" s="86" t="s">
        <v>147</v>
      </c>
      <c r="M299" s="87" t="s">
        <v>95</v>
      </c>
      <c r="N299" s="86" t="s">
        <v>62</v>
      </c>
      <c r="O299" s="94">
        <v>1</v>
      </c>
      <c r="P299" s="86"/>
      <c r="Q299" s="98">
        <v>14090</v>
      </c>
      <c r="R299" s="98"/>
      <c r="S299" s="98"/>
      <c r="T299" s="98"/>
      <c r="U299" s="96"/>
      <c r="V299" s="97"/>
      <c r="W299" s="34">
        <v>34213</v>
      </c>
      <c r="Y299" s="34">
        <f t="shared" si="41"/>
        <v>34213</v>
      </c>
      <c r="AA299" s="99"/>
      <c r="AC299" s="87" t="s">
        <v>1619</v>
      </c>
      <c r="AD299" s="87" t="s">
        <v>1620</v>
      </c>
      <c r="AE299" s="87" t="s">
        <v>1621</v>
      </c>
      <c r="AF299" s="87" t="s">
        <v>1121</v>
      </c>
      <c r="AG299" s="87" t="s">
        <v>67</v>
      </c>
      <c r="AH299" s="87">
        <v>59068</v>
      </c>
      <c r="AI299" s="37"/>
      <c r="AJ299" s="87" t="s">
        <v>1622</v>
      </c>
      <c r="AK299" s="100"/>
      <c r="AL299" s="86" t="s">
        <v>1623</v>
      </c>
      <c r="AM299" s="87"/>
      <c r="AN299" s="87"/>
      <c r="AO299" s="87"/>
      <c r="AP299" s="87">
        <v>1</v>
      </c>
      <c r="AQ299" s="87"/>
      <c r="AR299" s="87"/>
      <c r="AS299" s="87"/>
      <c r="AT299" s="87"/>
      <c r="AU299" s="87"/>
      <c r="AV299" s="87"/>
      <c r="BJ299" s="40">
        <v>35313</v>
      </c>
      <c r="BK299" s="40">
        <f>VLOOKUP(M299,[1]EconBenMult!$B$12:$D$14,2,TRUE)*(BJ299/1000000)</f>
        <v>0.42481538999999996</v>
      </c>
      <c r="BL299" s="31">
        <f>VLOOKUP(M299,[1]EconBenMult!$B$12:$D$14,3,TRUE)*(BJ299/1000000)</f>
        <v>24691.868380049997</v>
      </c>
    </row>
    <row r="300" spans="1:68" s="87" customFormat="1" ht="15" customHeight="1" x14ac:dyDescent="0.2">
      <c r="A300" s="89" t="s">
        <v>1624</v>
      </c>
      <c r="B300" s="86">
        <v>1993</v>
      </c>
      <c r="C300" s="86" t="s">
        <v>1380</v>
      </c>
      <c r="D300" s="87" t="s">
        <v>1625</v>
      </c>
      <c r="E300" s="87" t="s">
        <v>1626</v>
      </c>
      <c r="F300" s="87" t="s">
        <v>108</v>
      </c>
      <c r="G300" s="90">
        <v>59801</v>
      </c>
      <c r="H300" s="91"/>
      <c r="I300" s="91"/>
      <c r="J300" s="87" t="s">
        <v>108</v>
      </c>
      <c r="K300" s="93">
        <v>0.09</v>
      </c>
      <c r="L300" s="86" t="s">
        <v>147</v>
      </c>
      <c r="M300" s="87" t="s">
        <v>95</v>
      </c>
      <c r="N300" s="86" t="s">
        <v>62</v>
      </c>
      <c r="O300" s="94">
        <v>4</v>
      </c>
      <c r="P300" s="86"/>
      <c r="Q300" s="98">
        <v>102370</v>
      </c>
      <c r="R300" s="98"/>
      <c r="S300" s="98"/>
      <c r="T300" s="98"/>
      <c r="U300" s="96"/>
      <c r="V300" s="97"/>
      <c r="W300" s="89">
        <v>34436</v>
      </c>
      <c r="X300" s="89"/>
      <c r="Y300" s="89">
        <f t="shared" si="41"/>
        <v>34436</v>
      </c>
      <c r="Z300" s="136">
        <f t="shared" si="42"/>
        <v>39550</v>
      </c>
      <c r="AA300" s="99">
        <v>15</v>
      </c>
      <c r="AB300" s="136">
        <f>DATE(YEAR(Z300)+AA300,MONTH(Z300),DAY(Z300))</f>
        <v>45028</v>
      </c>
      <c r="AC300" s="87" t="s">
        <v>1627</v>
      </c>
      <c r="AE300" s="87" t="s">
        <v>1628</v>
      </c>
      <c r="AF300" s="87" t="s">
        <v>745</v>
      </c>
      <c r="AG300" s="87" t="s">
        <v>67</v>
      </c>
      <c r="AH300" s="87">
        <v>59803</v>
      </c>
      <c r="AI300" s="137"/>
      <c r="AJ300" s="87" t="s">
        <v>1629</v>
      </c>
      <c r="AK300" s="100"/>
      <c r="AL300" s="86" t="s">
        <v>1606</v>
      </c>
      <c r="AP300" s="87">
        <v>4</v>
      </c>
      <c r="AW300" s="86"/>
      <c r="AX300" s="86"/>
      <c r="AY300" s="86"/>
      <c r="AZ300" s="86"/>
      <c r="BA300" s="86"/>
      <c r="BB300" s="86"/>
      <c r="BC300" s="86"/>
      <c r="BD300" s="86"/>
      <c r="BE300" s="86"/>
      <c r="BJ300" s="88">
        <v>156011</v>
      </c>
      <c r="BK300" s="88">
        <f>VLOOKUP(M300,[1]EconBenMult!$B$12:$D$14,2,TRUE)*(BJ300/1000000)</f>
        <v>1.8768123300000001</v>
      </c>
      <c r="BL300" s="98">
        <f>VLOOKUP(M300,[1]EconBenMult!$B$12:$D$14,3,TRUE)*(BJ300/1000000)</f>
        <v>109087.39211735</v>
      </c>
      <c r="BM300" s="88"/>
      <c r="BN300" s="88"/>
      <c r="BO300" s="88"/>
      <c r="BP300" s="88"/>
    </row>
    <row r="301" spans="1:68" x14ac:dyDescent="0.2">
      <c r="A301" s="34" t="s">
        <v>1624</v>
      </c>
      <c r="B301" s="24">
        <v>1993</v>
      </c>
      <c r="C301" s="24" t="s">
        <v>181</v>
      </c>
      <c r="D301" s="25" t="s">
        <v>1630</v>
      </c>
      <c r="E301" s="25" t="s">
        <v>1631</v>
      </c>
      <c r="F301" s="25" t="s">
        <v>66</v>
      </c>
      <c r="G301" s="26">
        <v>59901</v>
      </c>
      <c r="J301" s="25" t="s">
        <v>59</v>
      </c>
      <c r="K301" s="28">
        <v>0.09</v>
      </c>
      <c r="L301" s="24" t="s">
        <v>147</v>
      </c>
      <c r="M301" s="25" t="s">
        <v>95</v>
      </c>
      <c r="N301" s="24" t="s">
        <v>62</v>
      </c>
      <c r="O301" s="29">
        <v>16</v>
      </c>
      <c r="Q301" s="31">
        <v>1241590</v>
      </c>
      <c r="R301" s="31"/>
      <c r="S301" s="31"/>
      <c r="T301" s="31"/>
      <c r="W301" s="34">
        <v>35060</v>
      </c>
      <c r="Y301" s="34">
        <f t="shared" si="41"/>
        <v>35060</v>
      </c>
      <c r="Z301" s="35">
        <f t="shared" si="42"/>
        <v>40174</v>
      </c>
      <c r="AA301" s="36">
        <v>15</v>
      </c>
      <c r="AB301" s="35">
        <f>DATE(YEAR(Z301)+AA301,MONTH(Z301),DAY(Z301))</f>
        <v>45653</v>
      </c>
      <c r="AC301" s="25" t="s">
        <v>1632</v>
      </c>
      <c r="AD301" s="25" t="s">
        <v>1588</v>
      </c>
      <c r="AE301" s="25" t="s">
        <v>1589</v>
      </c>
      <c r="AF301" s="25" t="s">
        <v>1378</v>
      </c>
      <c r="AG301" s="25" t="s">
        <v>67</v>
      </c>
      <c r="AH301" s="25">
        <v>59106</v>
      </c>
      <c r="AI301" s="37"/>
      <c r="AJ301" s="25" t="s">
        <v>1633</v>
      </c>
      <c r="AL301" s="24" t="s">
        <v>1615</v>
      </c>
      <c r="AP301" s="25">
        <v>16</v>
      </c>
      <c r="BJ301" s="40">
        <v>1119523</v>
      </c>
      <c r="BK301" s="40">
        <f>VLOOKUP(M301,[1]EconBenMult!$B$12:$D$14,2,TRUE)*(BJ301/1000000)</f>
        <v>13.467861689999999</v>
      </c>
      <c r="BL301" s="31">
        <f>VLOOKUP(M301,[1]EconBenMult!$B$12:$D$14,3,TRUE)*(BJ301/1000000)</f>
        <v>782802.77983855002</v>
      </c>
    </row>
    <row r="302" spans="1:68" s="87" customFormat="1" x14ac:dyDescent="0.2">
      <c r="A302" s="89" t="s">
        <v>1634</v>
      </c>
      <c r="B302" s="86">
        <v>1992</v>
      </c>
      <c r="C302" s="86" t="s">
        <v>1380</v>
      </c>
      <c r="D302" s="87" t="s">
        <v>1635</v>
      </c>
      <c r="E302" s="87" t="s">
        <v>1636</v>
      </c>
      <c r="F302" s="87" t="s">
        <v>113</v>
      </c>
      <c r="G302" s="90">
        <v>59101</v>
      </c>
      <c r="H302" s="91"/>
      <c r="I302" s="91"/>
      <c r="J302" s="87" t="s">
        <v>175</v>
      </c>
      <c r="K302" s="93">
        <v>0.09</v>
      </c>
      <c r="L302" s="86" t="s">
        <v>60</v>
      </c>
      <c r="M302" s="87" t="s">
        <v>95</v>
      </c>
      <c r="N302" s="86" t="s">
        <v>62</v>
      </c>
      <c r="O302" s="94">
        <v>60</v>
      </c>
      <c r="P302" s="86"/>
      <c r="Q302" s="98">
        <v>2841590</v>
      </c>
      <c r="R302" s="98"/>
      <c r="S302" s="98"/>
      <c r="T302" s="98"/>
      <c r="U302" s="96"/>
      <c r="V302" s="97"/>
      <c r="W302" s="89">
        <v>34656</v>
      </c>
      <c r="X302" s="89"/>
      <c r="Y302" s="89">
        <f t="shared" si="41"/>
        <v>34656</v>
      </c>
      <c r="Z302" s="136">
        <f t="shared" si="42"/>
        <v>39770</v>
      </c>
      <c r="AA302" s="99">
        <v>15</v>
      </c>
      <c r="AB302" s="136">
        <f>DATE(YEAR(Z302)+AA302,MONTH(Z302),DAY(Z302))</f>
        <v>45248</v>
      </c>
      <c r="AC302" s="87" t="s">
        <v>1637</v>
      </c>
      <c r="AD302" s="87" t="s">
        <v>1588</v>
      </c>
      <c r="AE302" s="87" t="s">
        <v>1589</v>
      </c>
      <c r="AF302" s="90" t="s">
        <v>1378</v>
      </c>
      <c r="AG302" s="90" t="s">
        <v>67</v>
      </c>
      <c r="AH302" s="149">
        <v>59106</v>
      </c>
      <c r="AI302" s="137"/>
      <c r="AJ302" s="87" t="s">
        <v>1638</v>
      </c>
      <c r="AK302" s="100"/>
      <c r="AL302" s="86">
        <v>60</v>
      </c>
      <c r="AP302" s="87">
        <v>38</v>
      </c>
      <c r="AQ302" s="87">
        <v>20</v>
      </c>
      <c r="AR302" s="87">
        <v>2</v>
      </c>
      <c r="AW302" s="86"/>
      <c r="AX302" s="86"/>
      <c r="AY302" s="86"/>
      <c r="AZ302" s="86"/>
      <c r="BA302" s="86"/>
      <c r="BB302" s="86"/>
      <c r="BC302" s="86"/>
      <c r="BD302" s="86"/>
      <c r="BE302" s="86"/>
      <c r="BJ302" s="88">
        <v>3166600</v>
      </c>
      <c r="BK302" s="88">
        <f>VLOOKUP(M302,[1]EconBenMult!$B$12:$D$14,2,TRUE)*(BJ302/1000000)</f>
        <v>38.094197999999999</v>
      </c>
      <c r="BL302" s="98">
        <f>VLOOKUP(M302,[1]EconBenMult!$B$12:$D$14,3,TRUE)*(BJ302/1000000)</f>
        <v>2214178.0764099997</v>
      </c>
      <c r="BM302" s="88"/>
      <c r="BN302" s="88"/>
      <c r="BO302" s="88"/>
      <c r="BP302" s="88"/>
    </row>
    <row r="303" spans="1:68" s="87" customFormat="1" x14ac:dyDescent="0.2">
      <c r="A303" s="89" t="s">
        <v>1639</v>
      </c>
      <c r="B303" s="86">
        <v>1992</v>
      </c>
      <c r="C303" s="86" t="s">
        <v>1380</v>
      </c>
      <c r="D303" s="87" t="s">
        <v>1640</v>
      </c>
      <c r="E303" s="87" t="s">
        <v>1641</v>
      </c>
      <c r="F303" s="87" t="s">
        <v>1642</v>
      </c>
      <c r="G303" s="90">
        <v>59230</v>
      </c>
      <c r="H303" s="91"/>
      <c r="I303" s="91"/>
      <c r="J303" s="87" t="s">
        <v>1643</v>
      </c>
      <c r="K303" s="93">
        <v>0.09</v>
      </c>
      <c r="L303" s="86" t="s">
        <v>239</v>
      </c>
      <c r="M303" s="87" t="s">
        <v>95</v>
      </c>
      <c r="N303" s="86" t="s">
        <v>1644</v>
      </c>
      <c r="O303" s="94">
        <v>6</v>
      </c>
      <c r="P303" s="86"/>
      <c r="Q303" s="98">
        <v>97800</v>
      </c>
      <c r="R303" s="98"/>
      <c r="S303" s="98"/>
      <c r="T303" s="98"/>
      <c r="U303" s="96"/>
      <c r="V303" s="97"/>
      <c r="W303" s="89">
        <v>34060</v>
      </c>
      <c r="X303" s="89"/>
      <c r="Y303" s="89">
        <f t="shared" si="41"/>
        <v>34060</v>
      </c>
      <c r="Z303" s="136"/>
      <c r="AA303" s="99"/>
      <c r="AB303" s="136"/>
      <c r="AC303" s="87" t="s">
        <v>1645</v>
      </c>
      <c r="AD303" s="87" t="s">
        <v>1646</v>
      </c>
      <c r="AE303" s="87" t="s">
        <v>1647</v>
      </c>
      <c r="AF303" s="87" t="s">
        <v>1648</v>
      </c>
      <c r="AG303" s="87" t="s">
        <v>67</v>
      </c>
      <c r="AH303" s="87">
        <v>59230</v>
      </c>
      <c r="AI303" s="137"/>
      <c r="AJ303" s="87" t="s">
        <v>1649</v>
      </c>
      <c r="AK303" s="100"/>
      <c r="AL303" s="86" t="s">
        <v>1650</v>
      </c>
      <c r="AN303" s="87">
        <v>6</v>
      </c>
      <c r="AW303" s="86"/>
      <c r="AX303" s="86"/>
      <c r="AY303" s="86"/>
      <c r="AZ303" s="86"/>
      <c r="BA303" s="86"/>
      <c r="BB303" s="86"/>
      <c r="BC303" s="86"/>
      <c r="BD303" s="86"/>
      <c r="BE303" s="86"/>
      <c r="BJ303" s="88">
        <v>298101</v>
      </c>
      <c r="BK303" s="88">
        <f>VLOOKUP(M303,[1]EconBenMult!$B$12:$D$14,2,TRUE)*(BJ303/1000000)</f>
        <v>3.58615503</v>
      </c>
      <c r="BL303" s="98">
        <f>VLOOKUP(M303,[1]EconBenMult!$B$12:$D$14,3,TRUE)*(BJ303/1000000)</f>
        <v>208440.81941385</v>
      </c>
      <c r="BM303" s="88"/>
      <c r="BN303" s="88"/>
      <c r="BO303" s="88"/>
      <c r="BP303" s="88"/>
    </row>
    <row r="304" spans="1:68" s="87" customFormat="1" x14ac:dyDescent="0.2">
      <c r="A304" s="89" t="s">
        <v>1634</v>
      </c>
      <c r="B304" s="86">
        <v>1992</v>
      </c>
      <c r="C304" s="86" t="s">
        <v>1380</v>
      </c>
      <c r="D304" s="87" t="s">
        <v>1651</v>
      </c>
      <c r="E304" s="87" t="s">
        <v>1652</v>
      </c>
      <c r="F304" s="87" t="s">
        <v>1487</v>
      </c>
      <c r="G304" s="90">
        <v>59034</v>
      </c>
      <c r="H304" s="91"/>
      <c r="I304" s="91"/>
      <c r="J304" s="87" t="s">
        <v>187</v>
      </c>
      <c r="K304" s="93">
        <v>0.09</v>
      </c>
      <c r="L304" s="86" t="s">
        <v>147</v>
      </c>
      <c r="M304" s="87" t="s">
        <v>95</v>
      </c>
      <c r="N304" s="86" t="s">
        <v>62</v>
      </c>
      <c r="O304" s="94">
        <v>16</v>
      </c>
      <c r="P304" s="86"/>
      <c r="Q304" s="98">
        <v>326940</v>
      </c>
      <c r="R304" s="98"/>
      <c r="S304" s="98"/>
      <c r="T304" s="98"/>
      <c r="U304" s="96"/>
      <c r="V304" s="97"/>
      <c r="W304" s="89">
        <v>34191</v>
      </c>
      <c r="X304" s="89"/>
      <c r="Y304" s="89">
        <f t="shared" si="41"/>
        <v>34191</v>
      </c>
      <c r="Z304" s="136">
        <f t="shared" si="42"/>
        <v>39304</v>
      </c>
      <c r="AA304" s="99">
        <v>15</v>
      </c>
      <c r="AB304" s="136">
        <f t="shared" ref="AB304:AB318" si="43">DATE(YEAR(Z304)+AA304,MONTH(Z304),DAY(Z304))</f>
        <v>44783</v>
      </c>
      <c r="AC304" s="87" t="s">
        <v>1653</v>
      </c>
      <c r="AD304" s="87" t="s">
        <v>1654</v>
      </c>
      <c r="AE304" s="87" t="s">
        <v>1655</v>
      </c>
      <c r="AF304" s="87" t="s">
        <v>1332</v>
      </c>
      <c r="AG304" s="87" t="s">
        <v>1333</v>
      </c>
      <c r="AH304" s="87">
        <v>82801</v>
      </c>
      <c r="AI304" s="137"/>
      <c r="AJ304" s="87" t="s">
        <v>1656</v>
      </c>
      <c r="AK304" s="100"/>
      <c r="AL304" s="86" t="s">
        <v>1615</v>
      </c>
      <c r="AO304" s="87">
        <v>4</v>
      </c>
      <c r="AP304" s="87">
        <v>12</v>
      </c>
      <c r="AW304" s="86"/>
      <c r="AX304" s="86"/>
      <c r="AY304" s="86"/>
      <c r="AZ304" s="86"/>
      <c r="BA304" s="86"/>
      <c r="BB304" s="86"/>
      <c r="BC304" s="86"/>
      <c r="BD304" s="86"/>
      <c r="BE304" s="86"/>
      <c r="BJ304" s="88">
        <v>736503</v>
      </c>
      <c r="BK304" s="88">
        <f>VLOOKUP(M304,[1]EconBenMult!$B$12:$D$14,2,TRUE)*(BJ304/1000000)</f>
        <v>8.8601310899999994</v>
      </c>
      <c r="BL304" s="98">
        <f>VLOOKUP(M304,[1]EconBenMult!$B$12:$D$14,3,TRUE)*(BJ304/1000000)</f>
        <v>514984.14571155002</v>
      </c>
      <c r="BM304" s="88"/>
      <c r="BN304" s="88"/>
      <c r="BO304" s="88"/>
      <c r="BP304" s="88"/>
    </row>
    <row r="305" spans="1:68" s="87" customFormat="1" x14ac:dyDescent="0.2">
      <c r="A305" s="89" t="s">
        <v>1657</v>
      </c>
      <c r="B305" s="86">
        <v>1992</v>
      </c>
      <c r="C305" s="86" t="s">
        <v>1380</v>
      </c>
      <c r="D305" s="87" t="s">
        <v>1658</v>
      </c>
      <c r="E305" s="87" t="s">
        <v>1659</v>
      </c>
      <c r="F305" s="87" t="s">
        <v>66</v>
      </c>
      <c r="G305" s="90">
        <v>59901</v>
      </c>
      <c r="H305" s="91"/>
      <c r="I305" s="91"/>
      <c r="J305" s="87" t="s">
        <v>59</v>
      </c>
      <c r="K305" s="93">
        <v>0.09</v>
      </c>
      <c r="L305" s="86" t="s">
        <v>147</v>
      </c>
      <c r="M305" s="87" t="s">
        <v>95</v>
      </c>
      <c r="N305" s="86" t="s">
        <v>62</v>
      </c>
      <c r="O305" s="94">
        <v>48</v>
      </c>
      <c r="P305" s="86"/>
      <c r="Q305" s="98">
        <v>2832660</v>
      </c>
      <c r="R305" s="98"/>
      <c r="S305" s="98"/>
      <c r="T305" s="98"/>
      <c r="U305" s="96"/>
      <c r="V305" s="97"/>
      <c r="W305" s="89">
        <v>34572</v>
      </c>
      <c r="X305" s="89"/>
      <c r="Y305" s="89">
        <f t="shared" si="41"/>
        <v>34572</v>
      </c>
      <c r="Z305" s="136">
        <f t="shared" si="42"/>
        <v>39686</v>
      </c>
      <c r="AA305" s="99">
        <v>15</v>
      </c>
      <c r="AB305" s="136">
        <f t="shared" si="43"/>
        <v>45164</v>
      </c>
      <c r="AC305" s="87" t="s">
        <v>1660</v>
      </c>
      <c r="AD305" s="87" t="s">
        <v>1588</v>
      </c>
      <c r="AE305" s="87" t="s">
        <v>1589</v>
      </c>
      <c r="AF305" s="87" t="s">
        <v>1378</v>
      </c>
      <c r="AG305" s="87" t="s">
        <v>67</v>
      </c>
      <c r="AH305" s="87">
        <v>59106</v>
      </c>
      <c r="AI305" s="137"/>
      <c r="AJ305" s="87" t="s">
        <v>1633</v>
      </c>
      <c r="AK305" s="100"/>
      <c r="AL305" s="86" t="s">
        <v>1661</v>
      </c>
      <c r="AP305" s="87">
        <v>24</v>
      </c>
      <c r="AQ305" s="87">
        <v>24</v>
      </c>
      <c r="AW305" s="86"/>
      <c r="AX305" s="86"/>
      <c r="AY305" s="86"/>
      <c r="AZ305" s="86"/>
      <c r="BA305" s="86"/>
      <c r="BB305" s="86"/>
      <c r="BC305" s="86"/>
      <c r="BD305" s="86"/>
      <c r="BE305" s="86"/>
      <c r="BJ305" s="88">
        <v>2781873</v>
      </c>
      <c r="BK305" s="88">
        <f>VLOOKUP(M305,[1]EconBenMult!$B$12:$D$14,2,TRUE)*(BJ305/1000000)</f>
        <v>33.465932189999997</v>
      </c>
      <c r="BL305" s="98">
        <f>VLOOKUP(M305,[1]EconBenMult!$B$12:$D$14,3,TRUE)*(BJ305/1000000)</f>
        <v>1945165.85863605</v>
      </c>
      <c r="BM305" s="88"/>
      <c r="BN305" s="88"/>
      <c r="BO305" s="88"/>
      <c r="BP305" s="88"/>
    </row>
    <row r="306" spans="1:68" s="87" customFormat="1" x14ac:dyDescent="0.2">
      <c r="A306" s="89" t="s">
        <v>1657</v>
      </c>
      <c r="B306" s="86">
        <v>1992</v>
      </c>
      <c r="C306" s="86" t="s">
        <v>1380</v>
      </c>
      <c r="D306" s="87" t="s">
        <v>1662</v>
      </c>
      <c r="E306" s="87" t="s">
        <v>1663</v>
      </c>
      <c r="F306" s="87" t="s">
        <v>409</v>
      </c>
      <c r="G306" s="90">
        <v>59722</v>
      </c>
      <c r="H306" s="91"/>
      <c r="I306" s="91"/>
      <c r="J306" s="87" t="s">
        <v>410</v>
      </c>
      <c r="K306" s="93">
        <v>0.09</v>
      </c>
      <c r="L306" s="86" t="s">
        <v>147</v>
      </c>
      <c r="M306" s="87" t="s">
        <v>61</v>
      </c>
      <c r="N306" s="86" t="s">
        <v>62</v>
      </c>
      <c r="O306" s="94">
        <v>24</v>
      </c>
      <c r="P306" s="86"/>
      <c r="Q306" s="98">
        <v>242220</v>
      </c>
      <c r="R306" s="98"/>
      <c r="S306" s="98"/>
      <c r="T306" s="98"/>
      <c r="U306" s="96"/>
      <c r="V306" s="97"/>
      <c r="W306" s="89">
        <v>34151</v>
      </c>
      <c r="X306" s="89"/>
      <c r="Y306" s="89">
        <f t="shared" si="41"/>
        <v>34151</v>
      </c>
      <c r="Z306" s="136">
        <f t="shared" si="42"/>
        <v>39264</v>
      </c>
      <c r="AA306" s="99">
        <v>15</v>
      </c>
      <c r="AB306" s="136">
        <f t="shared" si="43"/>
        <v>44743</v>
      </c>
      <c r="AC306" s="87" t="s">
        <v>1664</v>
      </c>
      <c r="AD306" s="87" t="s">
        <v>1504</v>
      </c>
      <c r="AE306" s="87" t="s">
        <v>1505</v>
      </c>
      <c r="AF306" s="87" t="s">
        <v>1378</v>
      </c>
      <c r="AG306" s="87" t="s">
        <v>67</v>
      </c>
      <c r="AH306" s="87" t="s">
        <v>1566</v>
      </c>
      <c r="AI306" s="137"/>
      <c r="AJ306" s="87" t="s">
        <v>1665</v>
      </c>
      <c r="AK306" s="100"/>
      <c r="AL306" s="86" t="s">
        <v>1666</v>
      </c>
      <c r="AO306" s="87">
        <v>15</v>
      </c>
      <c r="AP306" s="87">
        <v>9</v>
      </c>
      <c r="AW306" s="86"/>
      <c r="AX306" s="86"/>
      <c r="AY306" s="86"/>
      <c r="AZ306" s="86"/>
      <c r="BA306" s="86"/>
      <c r="BB306" s="86"/>
      <c r="BC306" s="86"/>
      <c r="BD306" s="86"/>
      <c r="BE306" s="86"/>
      <c r="BJ306" s="88">
        <v>698472</v>
      </c>
      <c r="BK306" s="88">
        <f>VLOOKUP(M306,[1]EconBenMult!$B$12:$D$14,2,TRUE)*(BJ306/1000000)</f>
        <v>5.4201427199999994</v>
      </c>
      <c r="BL306" s="98">
        <f>VLOOKUP(M306,[1]EconBenMult!$B$12:$D$14,3,TRUE)*(BJ306/1000000)</f>
        <v>299105.29555487999</v>
      </c>
      <c r="BM306" s="88"/>
      <c r="BN306" s="88"/>
      <c r="BO306" s="88"/>
      <c r="BP306" s="88"/>
    </row>
    <row r="307" spans="1:68" s="87" customFormat="1" x14ac:dyDescent="0.2">
      <c r="A307" s="89" t="s">
        <v>1667</v>
      </c>
      <c r="B307" s="86">
        <v>1992</v>
      </c>
      <c r="C307" s="86" t="s">
        <v>1380</v>
      </c>
      <c r="D307" s="87" t="s">
        <v>1668</v>
      </c>
      <c r="E307" s="87" t="s">
        <v>1669</v>
      </c>
      <c r="F307" s="87" t="s">
        <v>113</v>
      </c>
      <c r="G307" s="90">
        <v>59101</v>
      </c>
      <c r="H307" s="91"/>
      <c r="I307" s="91"/>
      <c r="J307" s="87" t="s">
        <v>175</v>
      </c>
      <c r="K307" s="93">
        <v>0.09</v>
      </c>
      <c r="L307" s="86" t="s">
        <v>147</v>
      </c>
      <c r="M307" s="87" t="s">
        <v>95</v>
      </c>
      <c r="N307" s="86" t="s">
        <v>62</v>
      </c>
      <c r="O307" s="94">
        <v>120</v>
      </c>
      <c r="P307" s="86"/>
      <c r="Q307" s="98">
        <v>370000</v>
      </c>
      <c r="R307" s="98"/>
      <c r="S307" s="98"/>
      <c r="T307" s="98"/>
      <c r="U307" s="96"/>
      <c r="V307" s="97"/>
      <c r="W307" s="89">
        <v>34488</v>
      </c>
      <c r="X307" s="89"/>
      <c r="Y307" s="89">
        <f t="shared" si="41"/>
        <v>34488</v>
      </c>
      <c r="Z307" s="136">
        <f t="shared" si="42"/>
        <v>39602</v>
      </c>
      <c r="AA307" s="99">
        <v>15</v>
      </c>
      <c r="AB307" s="136">
        <f t="shared" si="43"/>
        <v>45080</v>
      </c>
      <c r="AC307" s="87" t="s">
        <v>1428</v>
      </c>
      <c r="AD307" s="87" t="s">
        <v>1670</v>
      </c>
      <c r="AE307" s="87" t="s">
        <v>1430</v>
      </c>
      <c r="AF307" s="87" t="s">
        <v>908</v>
      </c>
      <c r="AG307" s="87" t="s">
        <v>131</v>
      </c>
      <c r="AH307" s="87">
        <v>98101</v>
      </c>
      <c r="AI307" s="137"/>
      <c r="AJ307" s="87" t="s">
        <v>1431</v>
      </c>
      <c r="AK307" s="100"/>
      <c r="AL307" s="86">
        <v>120</v>
      </c>
      <c r="AN307" s="87">
        <v>20</v>
      </c>
      <c r="AO307" s="87">
        <v>26</v>
      </c>
      <c r="AP307" s="87">
        <v>46</v>
      </c>
      <c r="AQ307" s="87">
        <v>28</v>
      </c>
      <c r="AW307" s="86"/>
      <c r="AX307" s="86"/>
      <c r="AY307" s="86"/>
      <c r="AZ307" s="86"/>
      <c r="BA307" s="86"/>
      <c r="BB307" s="86"/>
      <c r="BC307" s="86"/>
      <c r="BD307" s="86"/>
      <c r="BE307" s="86"/>
      <c r="BJ307" s="88">
        <v>4274640</v>
      </c>
      <c r="BK307" s="88">
        <f>VLOOKUP(M307,[1]EconBenMult!$B$12:$D$14,2,TRUE)*(BJ307/1000000)</f>
        <v>51.423919199999993</v>
      </c>
      <c r="BL307" s="98">
        <f>VLOOKUP(M307,[1]EconBenMult!$B$12:$D$14,3,TRUE)*(BJ307/1000000)</f>
        <v>2988951.6113639995</v>
      </c>
      <c r="BM307" s="88"/>
      <c r="BN307" s="88"/>
      <c r="BO307" s="88"/>
      <c r="BP307" s="88"/>
    </row>
    <row r="308" spans="1:68" s="87" customFormat="1" x14ac:dyDescent="0.2">
      <c r="A308" s="89" t="s">
        <v>1671</v>
      </c>
      <c r="B308" s="86">
        <v>1992</v>
      </c>
      <c r="C308" s="86" t="s">
        <v>1380</v>
      </c>
      <c r="D308" s="87" t="s">
        <v>1672</v>
      </c>
      <c r="E308" s="87" t="s">
        <v>1673</v>
      </c>
      <c r="F308" s="87" t="s">
        <v>108</v>
      </c>
      <c r="G308" s="90">
        <v>59801</v>
      </c>
      <c r="H308" s="91"/>
      <c r="I308" s="91"/>
      <c r="J308" s="87" t="s">
        <v>108</v>
      </c>
      <c r="K308" s="93">
        <v>0.09</v>
      </c>
      <c r="L308" s="86" t="s">
        <v>147</v>
      </c>
      <c r="M308" s="87" t="s">
        <v>95</v>
      </c>
      <c r="N308" s="86" t="s">
        <v>62</v>
      </c>
      <c r="O308" s="94">
        <v>96</v>
      </c>
      <c r="P308" s="86"/>
      <c r="Q308" s="98">
        <v>3692160</v>
      </c>
      <c r="R308" s="98"/>
      <c r="S308" s="98"/>
      <c r="T308" s="98"/>
      <c r="U308" s="96"/>
      <c r="V308" s="97"/>
      <c r="W308" s="89">
        <v>34365</v>
      </c>
      <c r="X308" s="89"/>
      <c r="Y308" s="89">
        <f t="shared" si="41"/>
        <v>34365</v>
      </c>
      <c r="Z308" s="136">
        <f t="shared" si="42"/>
        <v>39478</v>
      </c>
      <c r="AA308" s="99">
        <v>15</v>
      </c>
      <c r="AB308" s="136">
        <f t="shared" si="43"/>
        <v>44957</v>
      </c>
      <c r="AC308" s="87" t="s">
        <v>1674</v>
      </c>
      <c r="AD308" s="87" t="s">
        <v>1429</v>
      </c>
      <c r="AE308" s="87" t="s">
        <v>1430</v>
      </c>
      <c r="AF308" s="87" t="s">
        <v>908</v>
      </c>
      <c r="AG308" s="87" t="s">
        <v>131</v>
      </c>
      <c r="AH308" s="87">
        <v>98101</v>
      </c>
      <c r="AI308" s="137"/>
      <c r="AJ308" s="87" t="s">
        <v>1675</v>
      </c>
      <c r="AK308" s="100"/>
      <c r="AL308" s="86">
        <v>96</v>
      </c>
      <c r="AN308" s="87">
        <v>20</v>
      </c>
      <c r="AO308" s="87">
        <v>20</v>
      </c>
      <c r="AP308" s="87">
        <v>36</v>
      </c>
      <c r="AQ308" s="87">
        <v>20</v>
      </c>
      <c r="AW308" s="86"/>
      <c r="AX308" s="86"/>
      <c r="AY308" s="86"/>
      <c r="AZ308" s="86"/>
      <c r="BA308" s="86"/>
      <c r="BB308" s="86"/>
      <c r="BC308" s="86"/>
      <c r="BD308" s="86"/>
      <c r="BE308" s="86"/>
      <c r="BJ308" s="88">
        <v>3725000</v>
      </c>
      <c r="BK308" s="88">
        <f>VLOOKUP(M308,[1]EconBenMult!$B$12:$D$14,2,TRUE)*(BJ308/1000000)</f>
        <v>44.811749999999996</v>
      </c>
      <c r="BL308" s="98">
        <f>VLOOKUP(M308,[1]EconBenMult!$B$12:$D$14,3,TRUE)*(BJ308/1000000)</f>
        <v>2604627.4662500001</v>
      </c>
      <c r="BM308" s="88"/>
      <c r="BN308" s="88"/>
      <c r="BO308" s="88"/>
      <c r="BP308" s="88"/>
    </row>
    <row r="309" spans="1:68" s="122" customFormat="1" x14ac:dyDescent="0.2">
      <c r="A309" s="120" t="s">
        <v>1676</v>
      </c>
      <c r="B309" s="121">
        <v>1991</v>
      </c>
      <c r="C309" s="121" t="s">
        <v>1380</v>
      </c>
      <c r="D309" s="122" t="s">
        <v>1677</v>
      </c>
      <c r="E309" s="122" t="s">
        <v>1678</v>
      </c>
      <c r="F309" s="122" t="s">
        <v>1679</v>
      </c>
      <c r="G309" s="123">
        <v>59247</v>
      </c>
      <c r="H309" s="124"/>
      <c r="I309" s="124"/>
      <c r="J309" s="122" t="s">
        <v>1680</v>
      </c>
      <c r="K309" s="125">
        <v>0.09</v>
      </c>
      <c r="L309" s="121" t="s">
        <v>147</v>
      </c>
      <c r="M309" s="122" t="s">
        <v>61</v>
      </c>
      <c r="N309" s="121" t="s">
        <v>62</v>
      </c>
      <c r="O309" s="126">
        <v>4</v>
      </c>
      <c r="P309" s="121"/>
      <c r="Q309" s="130">
        <v>35950</v>
      </c>
      <c r="R309" s="130"/>
      <c r="S309" s="130"/>
      <c r="T309" s="130"/>
      <c r="U309" s="128"/>
      <c r="V309" s="129"/>
      <c r="W309" s="120">
        <v>33329</v>
      </c>
      <c r="X309" s="120"/>
      <c r="Y309" s="34">
        <f t="shared" si="41"/>
        <v>33329</v>
      </c>
      <c r="Z309" s="35">
        <f t="shared" si="42"/>
        <v>38443</v>
      </c>
      <c r="AA309" s="132">
        <v>15</v>
      </c>
      <c r="AB309" s="131">
        <f t="shared" si="43"/>
        <v>43922</v>
      </c>
      <c r="AC309" s="122" t="s">
        <v>1681</v>
      </c>
      <c r="AD309" s="122" t="s">
        <v>1682</v>
      </c>
      <c r="AE309" s="122" t="s">
        <v>1683</v>
      </c>
      <c r="AF309" s="122" t="s">
        <v>1684</v>
      </c>
      <c r="AG309" s="122" t="s">
        <v>67</v>
      </c>
      <c r="AH309" s="122">
        <v>59218</v>
      </c>
      <c r="AI309" s="37"/>
      <c r="AJ309" s="122" t="s">
        <v>1685</v>
      </c>
      <c r="AK309" s="134"/>
      <c r="AL309" s="121" t="s">
        <v>1606</v>
      </c>
      <c r="AO309" s="122">
        <v>2</v>
      </c>
      <c r="AP309" s="122">
        <v>2</v>
      </c>
      <c r="AW309" s="121"/>
      <c r="AX309" s="121"/>
      <c r="AY309" s="121"/>
      <c r="AZ309" s="121"/>
      <c r="BA309" s="121"/>
      <c r="BB309" s="121"/>
      <c r="BC309" s="121"/>
      <c r="BD309" s="121"/>
      <c r="BE309" s="121"/>
      <c r="BJ309" s="40">
        <v>78576</v>
      </c>
      <c r="BK309" s="40">
        <f>VLOOKUP(M309,[1]EconBenMult!$B$12:$D$14,2,TRUE)*(BJ309/1000000)</f>
        <v>0.60974975999999992</v>
      </c>
      <c r="BL309" s="31">
        <f>VLOOKUP(M309,[1]EconBenMult!$B$12:$D$14,3,TRUE)*(BJ309/1000000)</f>
        <v>33648.446471039999</v>
      </c>
      <c r="BM309" s="40"/>
      <c r="BN309" s="40"/>
      <c r="BO309" s="40"/>
      <c r="BP309" s="40"/>
    </row>
    <row r="310" spans="1:68" s="87" customFormat="1" x14ac:dyDescent="0.2">
      <c r="A310" s="89" t="s">
        <v>1676</v>
      </c>
      <c r="B310" s="86">
        <v>1991</v>
      </c>
      <c r="C310" s="86" t="s">
        <v>1380</v>
      </c>
      <c r="D310" s="87" t="s">
        <v>1686</v>
      </c>
      <c r="E310" s="87" t="s">
        <v>1687</v>
      </c>
      <c r="F310" s="87" t="s">
        <v>1688</v>
      </c>
      <c r="G310" s="90">
        <v>59087</v>
      </c>
      <c r="H310" s="91"/>
      <c r="I310" s="91"/>
      <c r="J310" s="87" t="s">
        <v>1689</v>
      </c>
      <c r="K310" s="93">
        <v>0.09</v>
      </c>
      <c r="L310" s="86" t="s">
        <v>147</v>
      </c>
      <c r="M310" s="87" t="s">
        <v>95</v>
      </c>
      <c r="N310" s="86" t="s">
        <v>62</v>
      </c>
      <c r="O310" s="94">
        <v>6</v>
      </c>
      <c r="P310" s="86"/>
      <c r="Q310" s="98">
        <v>96260</v>
      </c>
      <c r="R310" s="98"/>
      <c r="S310" s="98"/>
      <c r="T310" s="98"/>
      <c r="U310" s="96"/>
      <c r="V310" s="97"/>
      <c r="W310" s="89">
        <v>33543</v>
      </c>
      <c r="X310" s="89"/>
      <c r="Y310" s="34">
        <f t="shared" si="41"/>
        <v>33543</v>
      </c>
      <c r="Z310" s="35">
        <f t="shared" si="42"/>
        <v>38657</v>
      </c>
      <c r="AA310" s="99">
        <v>15</v>
      </c>
      <c r="AB310" s="136">
        <f t="shared" si="43"/>
        <v>44136</v>
      </c>
      <c r="AC310" s="87" t="s">
        <v>1664</v>
      </c>
      <c r="AD310" s="87" t="s">
        <v>1504</v>
      </c>
      <c r="AE310" s="87" t="s">
        <v>1505</v>
      </c>
      <c r="AF310" s="87" t="s">
        <v>1378</v>
      </c>
      <c r="AG310" s="87" t="s">
        <v>67</v>
      </c>
      <c r="AH310" s="87" t="s">
        <v>1566</v>
      </c>
      <c r="AI310" s="37"/>
      <c r="AJ310" s="87" t="s">
        <v>1690</v>
      </c>
      <c r="AK310" s="100"/>
      <c r="AL310" s="86" t="s">
        <v>1650</v>
      </c>
      <c r="AO310" s="87">
        <v>4</v>
      </c>
      <c r="AP310" s="87">
        <v>2</v>
      </c>
      <c r="AW310" s="86"/>
      <c r="AX310" s="86"/>
      <c r="AY310" s="86"/>
      <c r="AZ310" s="86"/>
      <c r="BA310" s="86"/>
      <c r="BB310" s="86"/>
      <c r="BC310" s="86"/>
      <c r="BD310" s="86"/>
      <c r="BE310" s="86"/>
      <c r="BJ310" s="40">
        <v>269478</v>
      </c>
      <c r="BK310" s="40">
        <f>VLOOKUP(M310,[1]EconBenMult!$B$12:$D$14,2,TRUE)*(BJ310/1000000)</f>
        <v>3.2418203399999999</v>
      </c>
      <c r="BL310" s="31">
        <f>VLOOKUP(M310,[1]EconBenMult!$B$12:$D$14,3,TRUE)*(BJ310/1000000)</f>
        <v>188426.7920403</v>
      </c>
      <c r="BM310" s="40"/>
      <c r="BN310" s="40"/>
      <c r="BO310" s="40"/>
      <c r="BP310" s="40"/>
    </row>
    <row r="311" spans="1:68" s="87" customFormat="1" x14ac:dyDescent="0.2">
      <c r="A311" s="89" t="s">
        <v>1691</v>
      </c>
      <c r="B311" s="86">
        <v>1991</v>
      </c>
      <c r="C311" s="86" t="s">
        <v>1380</v>
      </c>
      <c r="D311" s="87" t="s">
        <v>1692</v>
      </c>
      <c r="E311" s="87" t="s">
        <v>1693</v>
      </c>
      <c r="F311" s="87" t="s">
        <v>415</v>
      </c>
      <c r="G311" s="90">
        <v>59937</v>
      </c>
      <c r="H311" s="91"/>
      <c r="I311" s="91"/>
      <c r="J311" s="87" t="s">
        <v>59</v>
      </c>
      <c r="K311" s="93">
        <v>0.09</v>
      </c>
      <c r="L311" s="86" t="s">
        <v>147</v>
      </c>
      <c r="M311" s="87" t="s">
        <v>95</v>
      </c>
      <c r="N311" s="86" t="s">
        <v>347</v>
      </c>
      <c r="O311" s="94">
        <v>40</v>
      </c>
      <c r="P311" s="86"/>
      <c r="Q311" s="98">
        <v>822270</v>
      </c>
      <c r="R311" s="98"/>
      <c r="S311" s="98"/>
      <c r="T311" s="98"/>
      <c r="U311" s="96"/>
      <c r="V311" s="97"/>
      <c r="W311" s="89">
        <v>33847</v>
      </c>
      <c r="X311" s="89"/>
      <c r="Y311" s="34">
        <f t="shared" si="41"/>
        <v>33847</v>
      </c>
      <c r="Z311" s="35">
        <f t="shared" si="42"/>
        <v>38960</v>
      </c>
      <c r="AA311" s="99">
        <v>15</v>
      </c>
      <c r="AB311" s="136">
        <f t="shared" si="43"/>
        <v>44439</v>
      </c>
      <c r="AC311" s="87" t="s">
        <v>1694</v>
      </c>
      <c r="AD311" s="87" t="s">
        <v>1695</v>
      </c>
      <c r="AE311" s="87" t="s">
        <v>1696</v>
      </c>
      <c r="AF311" s="87" t="s">
        <v>1697</v>
      </c>
      <c r="AG311" s="87" t="s">
        <v>688</v>
      </c>
      <c r="AH311" s="87">
        <v>80906</v>
      </c>
      <c r="AI311" s="37"/>
      <c r="AJ311" s="87" t="s">
        <v>1698</v>
      </c>
      <c r="AK311" s="100"/>
      <c r="AL311" s="86" t="s">
        <v>1699</v>
      </c>
      <c r="AO311" s="87">
        <v>8</v>
      </c>
      <c r="AP311" s="87">
        <v>32</v>
      </c>
      <c r="AW311" s="86"/>
      <c r="AX311" s="86"/>
      <c r="AY311" s="86"/>
      <c r="AZ311" s="86"/>
      <c r="BA311" s="86"/>
      <c r="BB311" s="86"/>
      <c r="BC311" s="86"/>
      <c r="BD311" s="86"/>
      <c r="BE311" s="86"/>
      <c r="BJ311" s="40">
        <v>1972480</v>
      </c>
      <c r="BK311" s="40">
        <f>VLOOKUP(M311,[1]EconBenMult!$B$12:$D$14,2,TRUE)*(BJ311/1000000)</f>
        <v>23.7289344</v>
      </c>
      <c r="BL311" s="31">
        <f>VLOOKUP(M311,[1]EconBenMult!$B$12:$D$14,3,TRUE)*(BJ311/1000000)</f>
        <v>1379214.9220479999</v>
      </c>
      <c r="BM311" s="40"/>
      <c r="BN311" s="40"/>
      <c r="BO311" s="40"/>
      <c r="BP311" s="40"/>
    </row>
    <row r="312" spans="1:68" s="87" customFormat="1" x14ac:dyDescent="0.2">
      <c r="A312" s="89" t="s">
        <v>1691</v>
      </c>
      <c r="B312" s="86">
        <v>1991</v>
      </c>
      <c r="C312" s="121" t="s">
        <v>1380</v>
      </c>
      <c r="D312" s="87" t="s">
        <v>1700</v>
      </c>
      <c r="E312" s="87" t="s">
        <v>1701</v>
      </c>
      <c r="F312" s="87" t="s">
        <v>1702</v>
      </c>
      <c r="G312" s="90">
        <v>59427</v>
      </c>
      <c r="H312" s="91"/>
      <c r="I312" s="91"/>
      <c r="J312" s="87" t="s">
        <v>518</v>
      </c>
      <c r="K312" s="93">
        <v>0.09</v>
      </c>
      <c r="L312" s="86" t="s">
        <v>147</v>
      </c>
      <c r="M312" s="87" t="s">
        <v>95</v>
      </c>
      <c r="N312" s="86" t="s">
        <v>347</v>
      </c>
      <c r="O312" s="94">
        <v>19</v>
      </c>
      <c r="P312" s="86"/>
      <c r="Q312" s="98">
        <v>316590</v>
      </c>
      <c r="R312" s="98"/>
      <c r="S312" s="98"/>
      <c r="T312" s="98"/>
      <c r="U312" s="96"/>
      <c r="V312" s="97"/>
      <c r="W312" s="89">
        <v>33756</v>
      </c>
      <c r="X312" s="89"/>
      <c r="Y312" s="34">
        <f t="shared" si="41"/>
        <v>33756</v>
      </c>
      <c r="Z312" s="35">
        <f t="shared" si="42"/>
        <v>38869</v>
      </c>
      <c r="AA312" s="99">
        <v>15</v>
      </c>
      <c r="AB312" s="136">
        <f t="shared" si="43"/>
        <v>44348</v>
      </c>
      <c r="AC312" s="87" t="s">
        <v>1703</v>
      </c>
      <c r="AD312" s="87" t="s">
        <v>1416</v>
      </c>
      <c r="AE312" s="87" t="s">
        <v>1417</v>
      </c>
      <c r="AF312" s="87" t="s">
        <v>666</v>
      </c>
      <c r="AG312" s="87" t="s">
        <v>67</v>
      </c>
      <c r="AH312" s="87">
        <v>59427</v>
      </c>
      <c r="AI312" s="37"/>
      <c r="AJ312" s="87" t="s">
        <v>1704</v>
      </c>
      <c r="AK312" s="100"/>
      <c r="AL312" s="86">
        <v>19</v>
      </c>
      <c r="AO312" s="87">
        <v>17</v>
      </c>
      <c r="AP312" s="87">
        <v>2</v>
      </c>
      <c r="AW312" s="86"/>
      <c r="AX312" s="86"/>
      <c r="AY312" s="86"/>
      <c r="AZ312" s="86"/>
      <c r="BA312" s="86"/>
      <c r="BB312" s="86"/>
      <c r="BC312" s="86"/>
      <c r="BD312" s="86"/>
      <c r="BE312" s="86"/>
      <c r="BJ312" s="40">
        <v>1034474</v>
      </c>
      <c r="BK312" s="40">
        <f>VLOOKUP(M312,[1]EconBenMult!$B$12:$D$14,2,TRUE)*(BJ312/1000000)</f>
        <v>12.444722219999997</v>
      </c>
      <c r="BL312" s="31">
        <f>VLOOKUP(M312,[1]EconBenMult!$B$12:$D$14,3,TRUE)*(BJ312/1000000)</f>
        <v>723334.06537489989</v>
      </c>
      <c r="BM312" s="40"/>
      <c r="BN312" s="40"/>
      <c r="BO312" s="40"/>
      <c r="BP312" s="40"/>
    </row>
    <row r="313" spans="1:68" s="122" customFormat="1" x14ac:dyDescent="0.2">
      <c r="A313" s="120" t="s">
        <v>1691</v>
      </c>
      <c r="B313" s="121">
        <v>1991</v>
      </c>
      <c r="C313" s="121" t="s">
        <v>1380</v>
      </c>
      <c r="D313" s="122" t="s">
        <v>1705</v>
      </c>
      <c r="E313" s="122" t="s">
        <v>1706</v>
      </c>
      <c r="F313" s="122" t="s">
        <v>113</v>
      </c>
      <c r="G313" s="123">
        <v>59101</v>
      </c>
      <c r="H313" s="124"/>
      <c r="I313" s="124"/>
      <c r="J313" s="122" t="s">
        <v>175</v>
      </c>
      <c r="K313" s="125">
        <v>0.09</v>
      </c>
      <c r="L313" s="121" t="s">
        <v>147</v>
      </c>
      <c r="M313" s="122" t="s">
        <v>95</v>
      </c>
      <c r="N313" s="121" t="s">
        <v>347</v>
      </c>
      <c r="O313" s="126">
        <v>9</v>
      </c>
      <c r="P313" s="121"/>
      <c r="Q313" s="130">
        <v>290070</v>
      </c>
      <c r="R313" s="130"/>
      <c r="S313" s="130"/>
      <c r="T313" s="130"/>
      <c r="U313" s="128"/>
      <c r="V313" s="129"/>
      <c r="W313" s="120">
        <v>33543</v>
      </c>
      <c r="X313" s="120"/>
      <c r="Y313" s="34">
        <f t="shared" si="41"/>
        <v>33543</v>
      </c>
      <c r="Z313" s="35">
        <f t="shared" si="42"/>
        <v>38657</v>
      </c>
      <c r="AA313" s="132">
        <v>15</v>
      </c>
      <c r="AB313" s="131">
        <f t="shared" si="43"/>
        <v>44136</v>
      </c>
      <c r="AC313" s="122" t="s">
        <v>1707</v>
      </c>
      <c r="AD313" s="122" t="s">
        <v>1504</v>
      </c>
      <c r="AE313" s="122" t="s">
        <v>1505</v>
      </c>
      <c r="AF313" s="122" t="s">
        <v>1378</v>
      </c>
      <c r="AG313" s="122" t="s">
        <v>67</v>
      </c>
      <c r="AH313" s="122" t="s">
        <v>1566</v>
      </c>
      <c r="AI313" s="37"/>
      <c r="AJ313" s="122" t="s">
        <v>1708</v>
      </c>
      <c r="AK313" s="134"/>
      <c r="AL313" s="121" t="s">
        <v>1709</v>
      </c>
      <c r="AO313" s="122">
        <v>6</v>
      </c>
      <c r="AP313" s="122">
        <v>3</v>
      </c>
      <c r="AW313" s="121"/>
      <c r="AX313" s="121"/>
      <c r="AY313" s="121"/>
      <c r="AZ313" s="121"/>
      <c r="BA313" s="121"/>
      <c r="BB313" s="121"/>
      <c r="BC313" s="121"/>
      <c r="BD313" s="121"/>
      <c r="BE313" s="121"/>
      <c r="BJ313" s="40">
        <v>374100</v>
      </c>
      <c r="BK313" s="40">
        <f>VLOOKUP(M313,[1]EconBenMult!$B$12:$D$14,2,TRUE)*(BJ313/1000000)</f>
        <v>4.5004229999999996</v>
      </c>
      <c r="BL313" s="31">
        <f>VLOOKUP(M313,[1]EconBenMult!$B$12:$D$14,3,TRUE)*(BJ313/1000000)</f>
        <v>261581.51278499997</v>
      </c>
      <c r="BM313" s="40"/>
      <c r="BN313" s="40"/>
      <c r="BO313" s="40"/>
      <c r="BP313" s="40"/>
    </row>
    <row r="314" spans="1:68" s="122" customFormat="1" x14ac:dyDescent="0.2">
      <c r="A314" s="120" t="s">
        <v>1710</v>
      </c>
      <c r="B314" s="121">
        <v>1990</v>
      </c>
      <c r="C314" s="121" t="s">
        <v>1380</v>
      </c>
      <c r="D314" s="122" t="s">
        <v>1711</v>
      </c>
      <c r="E314" s="122" t="s">
        <v>1712</v>
      </c>
      <c r="F314" s="122" t="s">
        <v>525</v>
      </c>
      <c r="G314" s="123">
        <v>59860</v>
      </c>
      <c r="H314" s="124"/>
      <c r="I314" s="124"/>
      <c r="J314" s="122" t="s">
        <v>441</v>
      </c>
      <c r="K314" s="125">
        <v>0.09</v>
      </c>
      <c r="L314" s="121" t="s">
        <v>147</v>
      </c>
      <c r="M314" s="122" t="s">
        <v>95</v>
      </c>
      <c r="N314" s="121" t="s">
        <v>347</v>
      </c>
      <c r="O314" s="126">
        <v>28</v>
      </c>
      <c r="P314" s="121"/>
      <c r="Q314" s="130">
        <v>562380</v>
      </c>
      <c r="R314" s="130"/>
      <c r="S314" s="130"/>
      <c r="T314" s="130"/>
      <c r="U314" s="128"/>
      <c r="V314" s="129"/>
      <c r="W314" s="120">
        <v>33227</v>
      </c>
      <c r="X314" s="120"/>
      <c r="Y314" s="34">
        <f t="shared" si="41"/>
        <v>33227</v>
      </c>
      <c r="Z314" s="35">
        <f t="shared" si="42"/>
        <v>38341</v>
      </c>
      <c r="AA314" s="132">
        <v>15</v>
      </c>
      <c r="AB314" s="131">
        <f t="shared" si="43"/>
        <v>43819</v>
      </c>
      <c r="AC314" s="122" t="s">
        <v>1713</v>
      </c>
      <c r="AD314" s="122" t="s">
        <v>1714</v>
      </c>
      <c r="AE314" s="122" t="s">
        <v>1696</v>
      </c>
      <c r="AF314" s="122" t="s">
        <v>1697</v>
      </c>
      <c r="AG314" s="122" t="s">
        <v>688</v>
      </c>
      <c r="AH314" s="122">
        <v>80925</v>
      </c>
      <c r="AI314" s="37"/>
      <c r="AJ314" s="122" t="s">
        <v>1715</v>
      </c>
      <c r="AK314" s="134"/>
      <c r="AL314" s="121">
        <v>28</v>
      </c>
      <c r="AO314" s="122">
        <v>22</v>
      </c>
      <c r="AP314" s="122">
        <v>6</v>
      </c>
      <c r="AW314" s="121"/>
      <c r="AX314" s="121"/>
      <c r="AY314" s="121"/>
      <c r="AZ314" s="121"/>
      <c r="BA314" s="121"/>
      <c r="BB314" s="121"/>
      <c r="BC314" s="121"/>
      <c r="BD314" s="121"/>
      <c r="BE314" s="121"/>
      <c r="BJ314" s="40">
        <v>1201116</v>
      </c>
      <c r="BK314" s="40">
        <f>VLOOKUP(M314,[1]EconBenMult!$B$12:$D$14,2,TRUE)*(BJ314/1000000)</f>
        <v>14.44942548</v>
      </c>
      <c r="BL314" s="31">
        <f>VLOOKUP(M314,[1]EconBenMult!$B$12:$D$14,3,TRUE)*(BJ314/1000000)</f>
        <v>839854.95939660002</v>
      </c>
      <c r="BM314" s="40"/>
      <c r="BN314" s="40"/>
      <c r="BO314" s="40"/>
      <c r="BP314" s="40"/>
    </row>
    <row r="315" spans="1:68" s="122" customFormat="1" x14ac:dyDescent="0.2">
      <c r="A315" s="120" t="s">
        <v>1710</v>
      </c>
      <c r="B315" s="121">
        <v>1990</v>
      </c>
      <c r="C315" s="121" t="s">
        <v>1380</v>
      </c>
      <c r="D315" s="122" t="s">
        <v>1716</v>
      </c>
      <c r="E315" s="122" t="s">
        <v>1717</v>
      </c>
      <c r="F315" s="122" t="s">
        <v>377</v>
      </c>
      <c r="G315" s="123">
        <v>59870</v>
      </c>
      <c r="H315" s="124"/>
      <c r="I315" s="124"/>
      <c r="J315" s="122" t="s">
        <v>73</v>
      </c>
      <c r="K315" s="125">
        <v>0.09</v>
      </c>
      <c r="L315" s="121" t="s">
        <v>147</v>
      </c>
      <c r="M315" s="122" t="s">
        <v>95</v>
      </c>
      <c r="N315" s="121" t="s">
        <v>347</v>
      </c>
      <c r="O315" s="126">
        <v>30</v>
      </c>
      <c r="P315" s="121"/>
      <c r="Q315" s="130">
        <v>371780</v>
      </c>
      <c r="R315" s="130"/>
      <c r="S315" s="130"/>
      <c r="T315" s="130"/>
      <c r="U315" s="128"/>
      <c r="V315" s="129"/>
      <c r="W315" s="120">
        <v>33270</v>
      </c>
      <c r="X315" s="120"/>
      <c r="Y315" s="34">
        <f t="shared" si="41"/>
        <v>33270</v>
      </c>
      <c r="Z315" s="35">
        <f t="shared" si="42"/>
        <v>38384</v>
      </c>
      <c r="AA315" s="132">
        <v>15</v>
      </c>
      <c r="AB315" s="131">
        <f t="shared" si="43"/>
        <v>43862</v>
      </c>
      <c r="AC315" s="122" t="s">
        <v>1718</v>
      </c>
      <c r="AD315" s="122" t="s">
        <v>1719</v>
      </c>
      <c r="AE315" s="122" t="s">
        <v>744</v>
      </c>
      <c r="AF315" s="122" t="s">
        <v>745</v>
      </c>
      <c r="AG315" s="122" t="s">
        <v>67</v>
      </c>
      <c r="AH315" s="122">
        <v>59801</v>
      </c>
      <c r="AI315" s="37"/>
      <c r="AJ315" s="122" t="s">
        <v>1720</v>
      </c>
      <c r="AK315" s="134"/>
      <c r="AL315" s="121">
        <v>30</v>
      </c>
      <c r="AO315" s="122">
        <v>26</v>
      </c>
      <c r="AP315" s="122">
        <v>4</v>
      </c>
      <c r="AW315" s="121"/>
      <c r="AX315" s="121"/>
      <c r="AY315" s="121"/>
      <c r="AZ315" s="121"/>
      <c r="BA315" s="121"/>
      <c r="BB315" s="121"/>
      <c r="BC315" s="121"/>
      <c r="BD315" s="121"/>
      <c r="BE315" s="121"/>
      <c r="BJ315" s="40">
        <v>1044900</v>
      </c>
      <c r="BK315" s="40">
        <f>VLOOKUP(M315,[1]EconBenMult!$B$12:$D$14,2,TRUE)*(BJ315/1000000)</f>
        <v>12.570146999999999</v>
      </c>
      <c r="BL315" s="31">
        <f>VLOOKUP(M315,[1]EconBenMult!$B$12:$D$14,3,TRUE)*(BJ315/1000000)</f>
        <v>730624.22536499996</v>
      </c>
      <c r="BM315" s="40"/>
      <c r="BN315" s="40"/>
      <c r="BO315" s="40"/>
      <c r="BP315" s="40"/>
    </row>
    <row r="316" spans="1:68" s="122" customFormat="1" x14ac:dyDescent="0.2">
      <c r="A316" s="120" t="s">
        <v>1721</v>
      </c>
      <c r="B316" s="121">
        <v>1990</v>
      </c>
      <c r="C316" s="121" t="s">
        <v>1380</v>
      </c>
      <c r="D316" s="122" t="s">
        <v>1722</v>
      </c>
      <c r="E316" s="122" t="s">
        <v>1723</v>
      </c>
      <c r="F316" s="122" t="s">
        <v>113</v>
      </c>
      <c r="G316" s="123">
        <v>95101</v>
      </c>
      <c r="H316" s="124"/>
      <c r="I316" s="124"/>
      <c r="J316" s="122" t="s">
        <v>114</v>
      </c>
      <c r="K316" s="125">
        <v>0.09</v>
      </c>
      <c r="L316" s="121" t="s">
        <v>147</v>
      </c>
      <c r="M316" s="122" t="s">
        <v>95</v>
      </c>
      <c r="N316" s="121" t="s">
        <v>347</v>
      </c>
      <c r="O316" s="126">
        <v>9</v>
      </c>
      <c r="P316" s="121"/>
      <c r="Q316" s="130">
        <v>301130</v>
      </c>
      <c r="R316" s="130"/>
      <c r="S316" s="130"/>
      <c r="T316" s="130"/>
      <c r="U316" s="128"/>
      <c r="V316" s="129"/>
      <c r="W316" s="120">
        <v>33359</v>
      </c>
      <c r="X316" s="120"/>
      <c r="Y316" s="34">
        <f t="shared" si="41"/>
        <v>33359</v>
      </c>
      <c r="Z316" s="35">
        <f t="shared" si="42"/>
        <v>38473</v>
      </c>
      <c r="AA316" s="132">
        <v>15</v>
      </c>
      <c r="AB316" s="131">
        <f t="shared" si="43"/>
        <v>43952</v>
      </c>
      <c r="AC316" s="122" t="s">
        <v>1724</v>
      </c>
      <c r="AD316" s="122" t="s">
        <v>1504</v>
      </c>
      <c r="AE316" s="122" t="s">
        <v>1505</v>
      </c>
      <c r="AF316" s="122" t="s">
        <v>1378</v>
      </c>
      <c r="AG316" s="122" t="s">
        <v>67</v>
      </c>
      <c r="AH316" s="122" t="s">
        <v>1566</v>
      </c>
      <c r="AI316" s="37"/>
      <c r="AJ316" s="122" t="s">
        <v>1708</v>
      </c>
      <c r="AK316" s="134"/>
      <c r="AL316" s="121">
        <v>9</v>
      </c>
      <c r="AO316" s="122">
        <v>6</v>
      </c>
      <c r="AP316" s="122">
        <v>3</v>
      </c>
      <c r="AW316" s="121"/>
      <c r="AX316" s="121"/>
      <c r="AY316" s="121"/>
      <c r="AZ316" s="121"/>
      <c r="BA316" s="121"/>
      <c r="BB316" s="121"/>
      <c r="BC316" s="121"/>
      <c r="BD316" s="121"/>
      <c r="BE316" s="121"/>
      <c r="BJ316" s="40">
        <v>382383</v>
      </c>
      <c r="BK316" s="40">
        <f>VLOOKUP(M316,[1]EconBenMult!$B$12:$D$14,2,TRUE)*(BJ316/1000000)</f>
        <v>4.6000674899999998</v>
      </c>
      <c r="BL316" s="31">
        <f>VLOOKUP(M316,[1]EconBenMult!$B$12:$D$14,3,TRUE)*(BJ316/1000000)</f>
        <v>267373.22534954996</v>
      </c>
      <c r="BM316" s="40"/>
      <c r="BN316" s="40"/>
      <c r="BO316" s="40"/>
      <c r="BP316" s="40"/>
    </row>
    <row r="317" spans="1:68" s="122" customFormat="1" x14ac:dyDescent="0.2">
      <c r="A317" s="120" t="s">
        <v>1725</v>
      </c>
      <c r="B317" s="121">
        <v>1990</v>
      </c>
      <c r="C317" s="121" t="s">
        <v>1380</v>
      </c>
      <c r="D317" s="122" t="s">
        <v>1726</v>
      </c>
      <c r="E317" s="122" t="s">
        <v>1727</v>
      </c>
      <c r="F317" s="122" t="s">
        <v>1098</v>
      </c>
      <c r="G317" s="123">
        <v>59912</v>
      </c>
      <c r="H317" s="124"/>
      <c r="I317" s="124"/>
      <c r="J317" s="122" t="s">
        <v>59</v>
      </c>
      <c r="K317" s="125">
        <v>0.09</v>
      </c>
      <c r="L317" s="121" t="s">
        <v>147</v>
      </c>
      <c r="M317" s="122" t="s">
        <v>95</v>
      </c>
      <c r="N317" s="121" t="s">
        <v>347</v>
      </c>
      <c r="O317" s="126">
        <v>12</v>
      </c>
      <c r="P317" s="121"/>
      <c r="Q317" s="130">
        <v>172160</v>
      </c>
      <c r="R317" s="130"/>
      <c r="S317" s="130"/>
      <c r="T317" s="130"/>
      <c r="U317" s="128"/>
      <c r="V317" s="129"/>
      <c r="W317" s="120">
        <v>33298</v>
      </c>
      <c r="X317" s="120"/>
      <c r="Y317" s="34">
        <f t="shared" si="41"/>
        <v>33298</v>
      </c>
      <c r="Z317" s="35">
        <f t="shared" si="42"/>
        <v>38412</v>
      </c>
      <c r="AA317" s="132">
        <v>15</v>
      </c>
      <c r="AB317" s="131">
        <f t="shared" si="43"/>
        <v>43891</v>
      </c>
      <c r="AC317" s="122" t="s">
        <v>1728</v>
      </c>
      <c r="AD317" s="122" t="s">
        <v>1729</v>
      </c>
      <c r="AE317" s="122" t="s">
        <v>1730</v>
      </c>
      <c r="AF317" s="122" t="s">
        <v>1731</v>
      </c>
      <c r="AG317" s="122" t="s">
        <v>89</v>
      </c>
      <c r="AH317" s="122">
        <v>90814</v>
      </c>
      <c r="AI317" s="37"/>
      <c r="AJ317" s="123" t="s">
        <v>1732</v>
      </c>
      <c r="AK317" s="134"/>
      <c r="AL317" s="121">
        <v>12</v>
      </c>
      <c r="AO317" s="122">
        <v>8</v>
      </c>
      <c r="AP317" s="122">
        <v>4</v>
      </c>
      <c r="AW317" s="121"/>
      <c r="AX317" s="121"/>
      <c r="AY317" s="121"/>
      <c r="AZ317" s="121"/>
      <c r="BA317" s="121"/>
      <c r="BB317" s="121"/>
      <c r="BC317" s="121"/>
      <c r="BD317" s="121"/>
      <c r="BE317" s="121"/>
      <c r="BJ317" s="40">
        <v>609960</v>
      </c>
      <c r="BK317" s="40">
        <f>VLOOKUP(M317,[1]EconBenMult!$B$12:$D$14,2,TRUE)*(BJ317/1000000)</f>
        <v>7.3378187999999991</v>
      </c>
      <c r="BL317" s="31">
        <f>VLOOKUP(M317,[1]EconBenMult!$B$12:$D$14,3,TRUE)*(BJ317/1000000)</f>
        <v>426501.62934599997</v>
      </c>
      <c r="BM317" s="40"/>
      <c r="BN317" s="40"/>
      <c r="BO317" s="40"/>
      <c r="BP317" s="40"/>
    </row>
    <row r="318" spans="1:68" s="122" customFormat="1" x14ac:dyDescent="0.2">
      <c r="A318" s="120" t="s">
        <v>1725</v>
      </c>
      <c r="B318" s="121">
        <v>1990</v>
      </c>
      <c r="C318" s="121" t="s">
        <v>1380</v>
      </c>
      <c r="D318" s="122" t="s">
        <v>1733</v>
      </c>
      <c r="E318" s="122" t="s">
        <v>1734</v>
      </c>
      <c r="F318" s="122" t="s">
        <v>66</v>
      </c>
      <c r="G318" s="123">
        <v>59901</v>
      </c>
      <c r="H318" s="124"/>
      <c r="I318" s="124"/>
      <c r="J318" s="122" t="s">
        <v>59</v>
      </c>
      <c r="K318" s="125">
        <v>0.09</v>
      </c>
      <c r="L318" s="121" t="s">
        <v>147</v>
      </c>
      <c r="M318" s="122" t="s">
        <v>95</v>
      </c>
      <c r="N318" s="121" t="s">
        <v>347</v>
      </c>
      <c r="O318" s="126">
        <v>39</v>
      </c>
      <c r="P318" s="121"/>
      <c r="Q318" s="130">
        <v>656960</v>
      </c>
      <c r="R318" s="130"/>
      <c r="S318" s="130"/>
      <c r="T318" s="130"/>
      <c r="U318" s="128"/>
      <c r="V318" s="129"/>
      <c r="W318" s="120">
        <v>33763</v>
      </c>
      <c r="X318" s="120"/>
      <c r="Y318" s="34">
        <f t="shared" si="41"/>
        <v>33763</v>
      </c>
      <c r="Z318" s="35">
        <f t="shared" si="42"/>
        <v>38876</v>
      </c>
      <c r="AA318" s="132">
        <v>15</v>
      </c>
      <c r="AB318" s="131">
        <f t="shared" si="43"/>
        <v>44355</v>
      </c>
      <c r="AC318" s="122" t="s">
        <v>1735</v>
      </c>
      <c r="AD318" s="122" t="s">
        <v>1736</v>
      </c>
      <c r="AE318" s="122" t="s">
        <v>1581</v>
      </c>
      <c r="AF318" s="122" t="s">
        <v>1582</v>
      </c>
      <c r="AG318" s="122" t="s">
        <v>89</v>
      </c>
      <c r="AH318" s="122">
        <v>95604</v>
      </c>
      <c r="AI318" s="37"/>
      <c r="AJ318" s="122" t="s">
        <v>1737</v>
      </c>
      <c r="AK318" s="134"/>
      <c r="AL318" s="121">
        <v>40</v>
      </c>
      <c r="AO318" s="122">
        <v>39</v>
      </c>
      <c r="AP318" s="122">
        <v>1</v>
      </c>
      <c r="AW318" s="121"/>
      <c r="AX318" s="121"/>
      <c r="AY318" s="121"/>
      <c r="AZ318" s="121"/>
      <c r="BA318" s="121"/>
      <c r="BB318" s="121"/>
      <c r="BC318" s="121"/>
      <c r="BD318" s="121"/>
      <c r="BE318" s="121"/>
      <c r="BJ318" s="40">
        <v>1822071</v>
      </c>
      <c r="BK318" s="40">
        <f>VLOOKUP(M318,[1]EconBenMult!$B$12:$D$14,2,TRUE)*(BJ318/1000000)</f>
        <v>21.91951413</v>
      </c>
      <c r="BL318" s="31">
        <f>VLOOKUP(M318,[1]EconBenMult!$B$12:$D$14,3,TRUE)*(BJ318/1000000)</f>
        <v>1274044.6099483499</v>
      </c>
      <c r="BM318" s="40"/>
      <c r="BN318" s="40"/>
      <c r="BO318" s="40"/>
      <c r="BP318" s="40"/>
    </row>
    <row r="319" spans="1:68" x14ac:dyDescent="0.2">
      <c r="A319" s="89" t="s">
        <v>1738</v>
      </c>
      <c r="B319" s="86">
        <v>1989</v>
      </c>
      <c r="C319" s="86" t="s">
        <v>1380</v>
      </c>
      <c r="D319" s="87" t="s">
        <v>1739</v>
      </c>
      <c r="E319" s="87" t="s">
        <v>1740</v>
      </c>
      <c r="F319" s="87" t="s">
        <v>108</v>
      </c>
      <c r="G319" s="90">
        <v>59801</v>
      </c>
      <c r="H319" s="91"/>
      <c r="I319" s="91"/>
      <c r="J319" s="87" t="s">
        <v>108</v>
      </c>
      <c r="K319" s="93">
        <v>0.09</v>
      </c>
      <c r="L319" s="86" t="s">
        <v>147</v>
      </c>
      <c r="M319" s="87" t="s">
        <v>95</v>
      </c>
      <c r="N319" s="86" t="s">
        <v>62</v>
      </c>
      <c r="O319" s="94">
        <v>4</v>
      </c>
      <c r="P319" s="86"/>
      <c r="Q319" s="98">
        <v>85210</v>
      </c>
      <c r="R319" s="98"/>
      <c r="S319" s="98"/>
      <c r="T319" s="98"/>
      <c r="U319" s="96"/>
      <c r="V319" s="97"/>
      <c r="W319" s="34">
        <v>32933</v>
      </c>
      <c r="Y319" s="34">
        <f t="shared" si="41"/>
        <v>32933</v>
      </c>
      <c r="Z319" s="35">
        <f t="shared" si="42"/>
        <v>38047</v>
      </c>
      <c r="AA319" s="99"/>
      <c r="AB319" s="136"/>
      <c r="AC319" s="87" t="s">
        <v>1741</v>
      </c>
      <c r="AD319" s="87"/>
      <c r="AE319" s="87" t="s">
        <v>1742</v>
      </c>
      <c r="AF319" s="87" t="s">
        <v>745</v>
      </c>
      <c r="AG319" s="87" t="s">
        <v>67</v>
      </c>
      <c r="AH319" s="87">
        <v>59803</v>
      </c>
      <c r="AI319" s="37"/>
      <c r="AJ319" s="87" t="s">
        <v>1743</v>
      </c>
      <c r="AK319" s="100"/>
      <c r="AL319" s="86">
        <v>4</v>
      </c>
      <c r="AM319" s="87"/>
      <c r="AN319" s="87"/>
      <c r="AO319" s="87"/>
      <c r="AP319" s="87">
        <v>4</v>
      </c>
      <c r="AQ319" s="87"/>
      <c r="AR319" s="87"/>
      <c r="AS319" s="87"/>
      <c r="AT319" s="87"/>
      <c r="AU319" s="87"/>
      <c r="AV319" s="87"/>
      <c r="BJ319" s="40">
        <v>95000</v>
      </c>
      <c r="BK319" s="40">
        <f>VLOOKUP(M319,[1]EconBenMult!$B$12:$D$14,2,TRUE)*(BJ319/1000000)</f>
        <v>1.1428499999999999</v>
      </c>
      <c r="BL319" s="31">
        <f>VLOOKUP(M319,[1]EconBenMult!$B$12:$D$14,3,TRUE)*(BJ319/1000000)</f>
        <v>66426.740749999997</v>
      </c>
    </row>
    <row r="320" spans="1:68" x14ac:dyDescent="0.2">
      <c r="A320" s="89" t="s">
        <v>1744</v>
      </c>
      <c r="B320" s="86">
        <v>1989</v>
      </c>
      <c r="C320" s="86" t="s">
        <v>1380</v>
      </c>
      <c r="D320" s="87" t="s">
        <v>1745</v>
      </c>
      <c r="E320" s="87" t="s">
        <v>1746</v>
      </c>
      <c r="F320" s="87" t="s">
        <v>113</v>
      </c>
      <c r="G320" s="90">
        <v>59101</v>
      </c>
      <c r="H320" s="91"/>
      <c r="I320" s="91"/>
      <c r="J320" s="87" t="s">
        <v>114</v>
      </c>
      <c r="K320" s="93">
        <v>0.09</v>
      </c>
      <c r="L320" s="86" t="s">
        <v>147</v>
      </c>
      <c r="M320" s="87" t="s">
        <v>95</v>
      </c>
      <c r="N320" s="86" t="s">
        <v>347</v>
      </c>
      <c r="O320" s="94">
        <v>9</v>
      </c>
      <c r="P320" s="86"/>
      <c r="Q320" s="98">
        <v>264620</v>
      </c>
      <c r="R320" s="98"/>
      <c r="S320" s="98"/>
      <c r="T320" s="98"/>
      <c r="U320" s="96"/>
      <c r="V320" s="97"/>
      <c r="W320" s="34">
        <v>32964</v>
      </c>
      <c r="Y320" s="34">
        <f t="shared" si="41"/>
        <v>32964</v>
      </c>
      <c r="Z320" s="35">
        <f t="shared" si="42"/>
        <v>38078</v>
      </c>
      <c r="AA320" s="99"/>
      <c r="AB320" s="136"/>
      <c r="AC320" s="87" t="s">
        <v>1747</v>
      </c>
      <c r="AD320" s="87" t="s">
        <v>1504</v>
      </c>
      <c r="AE320" s="87" t="s">
        <v>1505</v>
      </c>
      <c r="AF320" s="87" t="s">
        <v>1378</v>
      </c>
      <c r="AG320" s="87" t="s">
        <v>67</v>
      </c>
      <c r="AH320" s="87" t="s">
        <v>1566</v>
      </c>
      <c r="AI320" s="37"/>
      <c r="AJ320" s="87" t="s">
        <v>1690</v>
      </c>
      <c r="AK320" s="100"/>
      <c r="AL320" s="86">
        <v>9</v>
      </c>
      <c r="AM320" s="87"/>
      <c r="AN320" s="87"/>
      <c r="AO320" s="87">
        <v>6</v>
      </c>
      <c r="AP320" s="87">
        <v>3</v>
      </c>
      <c r="AQ320" s="87"/>
      <c r="AR320" s="87"/>
      <c r="AS320" s="87"/>
      <c r="AT320" s="87"/>
      <c r="AU320" s="87"/>
      <c r="AV320" s="87"/>
      <c r="BJ320" s="40">
        <v>345300</v>
      </c>
      <c r="BK320" s="40">
        <f>VLOOKUP(M320,[1]EconBenMult!$B$12:$D$14,2,TRUE)*(BJ320/1000000)</f>
        <v>4.1539589999999995</v>
      </c>
      <c r="BL320" s="31">
        <f>VLOOKUP(M320,[1]EconBenMult!$B$12:$D$14,3,TRUE)*(BJ320/1000000)</f>
        <v>241443.72190499998</v>
      </c>
    </row>
    <row r="321" spans="1:68" x14ac:dyDescent="0.2">
      <c r="A321" s="89" t="s">
        <v>1748</v>
      </c>
      <c r="B321" s="86">
        <v>1989</v>
      </c>
      <c r="C321" s="86" t="s">
        <v>1380</v>
      </c>
      <c r="D321" s="87" t="s">
        <v>1749</v>
      </c>
      <c r="E321" s="87" t="s">
        <v>1750</v>
      </c>
      <c r="F321" s="87" t="s">
        <v>108</v>
      </c>
      <c r="G321" s="90">
        <v>59801</v>
      </c>
      <c r="H321" s="91"/>
      <c r="I321" s="91"/>
      <c r="J321" s="87" t="s">
        <v>108</v>
      </c>
      <c r="K321" s="93">
        <v>0.09</v>
      </c>
      <c r="L321" s="86" t="s">
        <v>147</v>
      </c>
      <c r="M321" s="87" t="s">
        <v>329</v>
      </c>
      <c r="N321" s="86" t="s">
        <v>62</v>
      </c>
      <c r="O321" s="94">
        <v>22</v>
      </c>
      <c r="P321" s="86"/>
      <c r="Q321" s="98">
        <v>423390</v>
      </c>
      <c r="R321" s="98"/>
      <c r="S321" s="98"/>
      <c r="T321" s="98"/>
      <c r="U321" s="96"/>
      <c r="V321" s="97"/>
      <c r="W321" s="34">
        <v>32660</v>
      </c>
      <c r="Y321" s="34">
        <f t="shared" si="41"/>
        <v>32660</v>
      </c>
      <c r="Z321" s="35">
        <f t="shared" si="42"/>
        <v>37773</v>
      </c>
      <c r="AA321" s="99"/>
      <c r="AB321" s="136"/>
      <c r="AC321" s="87" t="s">
        <v>1751</v>
      </c>
      <c r="AD321" s="87" t="s">
        <v>1752</v>
      </c>
      <c r="AE321" s="87" t="s">
        <v>1753</v>
      </c>
      <c r="AF321" s="87" t="s">
        <v>1394</v>
      </c>
      <c r="AG321" s="87" t="s">
        <v>131</v>
      </c>
      <c r="AH321" s="87" t="s">
        <v>1754</v>
      </c>
      <c r="AI321" s="37"/>
      <c r="AJ321" s="87" t="s">
        <v>1755</v>
      </c>
      <c r="AK321" s="100"/>
      <c r="AL321" s="86">
        <v>22</v>
      </c>
      <c r="AM321" s="87"/>
      <c r="AN321" s="87">
        <v>6</v>
      </c>
      <c r="AO321" s="87">
        <v>6</v>
      </c>
      <c r="AP321" s="87">
        <v>10</v>
      </c>
      <c r="AQ321" s="87"/>
      <c r="AR321" s="87"/>
      <c r="AS321" s="87"/>
      <c r="AT321" s="87"/>
      <c r="AU321" s="87"/>
      <c r="AV321" s="87"/>
      <c r="BJ321" s="40">
        <v>459716</v>
      </c>
      <c r="BK321" s="40">
        <f>VLOOKUP(M321,[1]EconBenMult!$B$12:$D$14,2,TRUE)*(BJ321/1000000)</f>
        <v>3.5673961599999999</v>
      </c>
      <c r="BL321" s="31">
        <f>VLOOKUP(M321,[1]EconBenMult!$B$12:$D$14,3,TRUE)*(BJ321/1000000)</f>
        <v>196863.28163663999</v>
      </c>
    </row>
    <row r="322" spans="1:68" x14ac:dyDescent="0.2">
      <c r="A322" s="89" t="s">
        <v>1744</v>
      </c>
      <c r="B322" s="86">
        <v>1989</v>
      </c>
      <c r="C322" s="86" t="s">
        <v>1380</v>
      </c>
      <c r="D322" s="87" t="s">
        <v>1756</v>
      </c>
      <c r="E322" s="87" t="s">
        <v>1757</v>
      </c>
      <c r="F322" s="87" t="s">
        <v>83</v>
      </c>
      <c r="G322" s="90">
        <v>59401</v>
      </c>
      <c r="H322" s="91"/>
      <c r="I322" s="91"/>
      <c r="J322" s="87" t="s">
        <v>84</v>
      </c>
      <c r="K322" s="93">
        <v>0.09</v>
      </c>
      <c r="L322" s="86" t="s">
        <v>147</v>
      </c>
      <c r="M322" s="87" t="s">
        <v>61</v>
      </c>
      <c r="N322" s="86" t="s">
        <v>62</v>
      </c>
      <c r="O322" s="94">
        <v>7</v>
      </c>
      <c r="P322" s="86"/>
      <c r="Q322" s="98">
        <v>46120</v>
      </c>
      <c r="R322" s="98"/>
      <c r="S322" s="98"/>
      <c r="T322" s="98"/>
      <c r="U322" s="96"/>
      <c r="V322" s="97"/>
      <c r="W322" s="34">
        <v>32660</v>
      </c>
      <c r="Y322" s="34">
        <f t="shared" si="41"/>
        <v>32660</v>
      </c>
      <c r="Z322" s="35">
        <f t="shared" si="42"/>
        <v>37773</v>
      </c>
      <c r="AA322" s="99"/>
      <c r="AB322" s="136"/>
      <c r="AC322" s="87" t="s">
        <v>1758</v>
      </c>
      <c r="AD322" s="87" t="s">
        <v>1759</v>
      </c>
      <c r="AE322" s="87" t="s">
        <v>1760</v>
      </c>
      <c r="AF322" s="87" t="s">
        <v>1499</v>
      </c>
      <c r="AG322" s="87" t="s">
        <v>67</v>
      </c>
      <c r="AH322" s="87">
        <v>59404</v>
      </c>
      <c r="AI322" s="37"/>
      <c r="AJ322" s="87" t="s">
        <v>1761</v>
      </c>
      <c r="AK322" s="100"/>
      <c r="AL322" s="86">
        <v>7</v>
      </c>
      <c r="AM322" s="87"/>
      <c r="AN322" s="87">
        <v>1</v>
      </c>
      <c r="AO322" s="87">
        <v>2</v>
      </c>
      <c r="AP322" s="87">
        <v>3</v>
      </c>
      <c r="AQ322" s="87">
        <v>1</v>
      </c>
      <c r="AR322" s="87"/>
      <c r="AS322" s="87"/>
      <c r="AT322" s="87"/>
      <c r="AU322" s="87"/>
      <c r="AV322" s="87"/>
      <c r="BJ322" s="40">
        <v>237500</v>
      </c>
      <c r="BK322" s="40">
        <f>VLOOKUP(M322,[1]EconBenMult!$B$12:$D$14,2,TRUE)*(BJ322/1000000)</f>
        <v>1.843</v>
      </c>
      <c r="BL322" s="31">
        <f>VLOOKUP(M322,[1]EconBenMult!$B$12:$D$14,3,TRUE)*(BJ322/1000000)</f>
        <v>101704.15949999999</v>
      </c>
    </row>
    <row r="323" spans="1:68" x14ac:dyDescent="0.2">
      <c r="A323" s="89" t="s">
        <v>1762</v>
      </c>
      <c r="B323" s="86">
        <v>1989</v>
      </c>
      <c r="C323" s="86" t="s">
        <v>1380</v>
      </c>
      <c r="D323" s="87" t="s">
        <v>1763</v>
      </c>
      <c r="E323" s="87" t="s">
        <v>1764</v>
      </c>
      <c r="F323" s="87" t="s">
        <v>145</v>
      </c>
      <c r="G323" s="90">
        <v>59501</v>
      </c>
      <c r="H323" s="91"/>
      <c r="I323" s="91"/>
      <c r="J323" s="87" t="s">
        <v>146</v>
      </c>
      <c r="K323" s="93">
        <v>0.09</v>
      </c>
      <c r="L323" s="86" t="s">
        <v>147</v>
      </c>
      <c r="M323" s="87" t="s">
        <v>61</v>
      </c>
      <c r="N323" s="86" t="s">
        <v>62</v>
      </c>
      <c r="O323" s="94">
        <v>5</v>
      </c>
      <c r="P323" s="86"/>
      <c r="Q323" s="98">
        <v>34000</v>
      </c>
      <c r="R323" s="98"/>
      <c r="S323" s="98"/>
      <c r="T323" s="98"/>
      <c r="U323" s="96"/>
      <c r="V323" s="97"/>
      <c r="W323" s="34">
        <v>32843</v>
      </c>
      <c r="Y323" s="34">
        <f t="shared" si="41"/>
        <v>32843</v>
      </c>
      <c r="Z323" s="35">
        <f t="shared" si="42"/>
        <v>37956</v>
      </c>
      <c r="AA323" s="99"/>
      <c r="AB323" s="136"/>
      <c r="AC323" s="87" t="s">
        <v>1765</v>
      </c>
      <c r="AD323" s="87"/>
      <c r="AE323" s="87" t="s">
        <v>1766</v>
      </c>
      <c r="AF323" s="87" t="s">
        <v>1613</v>
      </c>
      <c r="AG323" s="87" t="s">
        <v>67</v>
      </c>
      <c r="AH323" s="87">
        <v>59501</v>
      </c>
      <c r="AI323" s="37"/>
      <c r="AJ323" s="87" t="s">
        <v>1767</v>
      </c>
      <c r="AK323" s="100"/>
      <c r="AL323" s="86">
        <v>5</v>
      </c>
      <c r="AM323" s="87"/>
      <c r="AN323" s="87"/>
      <c r="AO323" s="87"/>
      <c r="AP323" s="87">
        <v>1</v>
      </c>
      <c r="AQ323" s="87">
        <v>4</v>
      </c>
      <c r="AR323" s="87"/>
      <c r="AS323" s="87"/>
      <c r="AT323" s="87"/>
      <c r="AU323" s="87"/>
      <c r="AV323" s="87"/>
      <c r="BJ323" s="40">
        <v>75000</v>
      </c>
      <c r="BK323" s="40">
        <f>VLOOKUP(M323,[1]EconBenMult!$B$12:$D$14,2,TRUE)*(BJ323/1000000)</f>
        <v>0.58199999999999996</v>
      </c>
      <c r="BL323" s="31">
        <f>VLOOKUP(M323,[1]EconBenMult!$B$12:$D$14,3,TRUE)*(BJ323/1000000)</f>
        <v>32117.102999999996</v>
      </c>
    </row>
    <row r="324" spans="1:68" x14ac:dyDescent="0.2">
      <c r="A324" s="89" t="s">
        <v>1768</v>
      </c>
      <c r="B324" s="86">
        <v>1989</v>
      </c>
      <c r="C324" s="86" t="s">
        <v>1380</v>
      </c>
      <c r="D324" s="87" t="s">
        <v>1769</v>
      </c>
      <c r="E324" s="87" t="s">
        <v>1770</v>
      </c>
      <c r="F324" s="87" t="s">
        <v>226</v>
      </c>
      <c r="G324" s="90">
        <v>59044</v>
      </c>
      <c r="H324" s="91"/>
      <c r="I324" s="91"/>
      <c r="J324" s="87" t="s">
        <v>114</v>
      </c>
      <c r="K324" s="93">
        <v>0.09</v>
      </c>
      <c r="L324" s="86" t="s">
        <v>147</v>
      </c>
      <c r="M324" s="87" t="s">
        <v>329</v>
      </c>
      <c r="N324" s="86" t="s">
        <v>347</v>
      </c>
      <c r="O324" s="94">
        <v>8</v>
      </c>
      <c r="P324" s="86"/>
      <c r="Q324" s="98">
        <v>90160</v>
      </c>
      <c r="R324" s="98"/>
      <c r="S324" s="98"/>
      <c r="T324" s="98"/>
      <c r="U324" s="96"/>
      <c r="V324" s="97"/>
      <c r="W324" s="34">
        <v>32782</v>
      </c>
      <c r="Y324" s="34">
        <f t="shared" si="41"/>
        <v>32782</v>
      </c>
      <c r="Z324" s="35">
        <f t="shared" si="42"/>
        <v>37895</v>
      </c>
      <c r="AA324" s="99"/>
      <c r="AB324" s="136"/>
      <c r="AC324" s="87" t="s">
        <v>1771</v>
      </c>
      <c r="AD324" s="87" t="s">
        <v>1504</v>
      </c>
      <c r="AE324" s="87" t="s">
        <v>1505</v>
      </c>
      <c r="AF324" s="87" t="s">
        <v>1378</v>
      </c>
      <c r="AG324" s="87" t="s">
        <v>67</v>
      </c>
      <c r="AH324" s="87" t="s">
        <v>1566</v>
      </c>
      <c r="AI324" s="37"/>
      <c r="AJ324" s="87" t="s">
        <v>1772</v>
      </c>
      <c r="AK324" s="100"/>
      <c r="AL324" s="86">
        <v>8</v>
      </c>
      <c r="AM324" s="87"/>
      <c r="AN324" s="87"/>
      <c r="AO324" s="87">
        <v>8</v>
      </c>
      <c r="AP324" s="87"/>
      <c r="AQ324" s="87"/>
      <c r="AR324" s="87"/>
      <c r="AS324" s="87"/>
      <c r="AT324" s="87"/>
      <c r="AU324" s="87"/>
      <c r="AV324" s="87"/>
      <c r="BJ324" s="40">
        <v>273198</v>
      </c>
      <c r="BK324" s="40">
        <f>VLOOKUP(M324,[1]EconBenMult!$B$12:$D$14,2,TRUE)*(BJ324/1000000)</f>
        <v>2.1200164799999999</v>
      </c>
      <c r="BL324" s="31">
        <f>VLOOKUP(M324,[1]EconBenMult!$B$12:$D$14,3,TRUE)*(BJ324/1000000)</f>
        <v>116991.04407192</v>
      </c>
    </row>
    <row r="325" spans="1:68" x14ac:dyDescent="0.2">
      <c r="A325" s="89" t="s">
        <v>1773</v>
      </c>
      <c r="B325" s="86">
        <v>1989</v>
      </c>
      <c r="C325" s="86" t="s">
        <v>1380</v>
      </c>
      <c r="D325" s="87" t="s">
        <v>1774</v>
      </c>
      <c r="E325" s="87" t="s">
        <v>1775</v>
      </c>
      <c r="F325" s="87" t="s">
        <v>1776</v>
      </c>
      <c r="G325" s="90">
        <v>59263</v>
      </c>
      <c r="H325" s="91"/>
      <c r="I325" s="91"/>
      <c r="J325" s="87" t="s">
        <v>1777</v>
      </c>
      <c r="K325" s="93">
        <v>0.09</v>
      </c>
      <c r="L325" s="86" t="s">
        <v>147</v>
      </c>
      <c r="M325" s="87" t="s">
        <v>329</v>
      </c>
      <c r="N325" s="86" t="s">
        <v>347</v>
      </c>
      <c r="O325" s="94">
        <v>11</v>
      </c>
      <c r="P325" s="86"/>
      <c r="Q325" s="98">
        <v>139800</v>
      </c>
      <c r="R325" s="98"/>
      <c r="S325" s="98"/>
      <c r="T325" s="98"/>
      <c r="U325" s="96"/>
      <c r="V325" s="97"/>
      <c r="W325" s="34">
        <v>33208</v>
      </c>
      <c r="Y325" s="34">
        <f t="shared" si="41"/>
        <v>33208</v>
      </c>
      <c r="Z325" s="35">
        <f t="shared" si="42"/>
        <v>38322</v>
      </c>
      <c r="AA325" s="99"/>
      <c r="AB325" s="136"/>
      <c r="AC325" s="87" t="s">
        <v>1778</v>
      </c>
      <c r="AD325" s="87" t="s">
        <v>1779</v>
      </c>
      <c r="AE325" s="87" t="s">
        <v>1780</v>
      </c>
      <c r="AF325" s="87" t="s">
        <v>1781</v>
      </c>
      <c r="AG325" s="87" t="s">
        <v>67</v>
      </c>
      <c r="AH325" s="87" t="s">
        <v>1782</v>
      </c>
      <c r="AI325" s="37"/>
      <c r="AJ325" s="87" t="s">
        <v>1783</v>
      </c>
      <c r="AK325" s="100"/>
      <c r="AL325" s="86">
        <v>11</v>
      </c>
      <c r="AM325" s="87"/>
      <c r="AN325" s="87"/>
      <c r="AO325" s="87">
        <v>6</v>
      </c>
      <c r="AP325" s="87">
        <v>5</v>
      </c>
      <c r="AQ325" s="87"/>
      <c r="AR325" s="87"/>
      <c r="AS325" s="87"/>
      <c r="AT325" s="87"/>
      <c r="AU325" s="87"/>
      <c r="AV325" s="87"/>
      <c r="BJ325" s="40">
        <v>612000</v>
      </c>
      <c r="BK325" s="40">
        <f>VLOOKUP(M325,[1]EconBenMult!$B$12:$D$14,2,TRUE)*(BJ325/1000000)</f>
        <v>4.7491199999999996</v>
      </c>
      <c r="BL325" s="31">
        <f>VLOOKUP(M325,[1]EconBenMult!$B$12:$D$14,3,TRUE)*(BJ325/1000000)</f>
        <v>262075.56047999999</v>
      </c>
    </row>
    <row r="326" spans="1:68" x14ac:dyDescent="0.2">
      <c r="A326" s="89" t="s">
        <v>1784</v>
      </c>
      <c r="B326" s="86">
        <v>1989</v>
      </c>
      <c r="C326" s="86" t="s">
        <v>1380</v>
      </c>
      <c r="D326" s="87" t="s">
        <v>1785</v>
      </c>
      <c r="E326" s="87" t="s">
        <v>1786</v>
      </c>
      <c r="F326" s="87" t="s">
        <v>83</v>
      </c>
      <c r="G326" s="90">
        <v>59401</v>
      </c>
      <c r="H326" s="91"/>
      <c r="I326" s="91"/>
      <c r="J326" s="87" t="s">
        <v>84</v>
      </c>
      <c r="K326" s="93">
        <v>0.09</v>
      </c>
      <c r="L326" s="86" t="s">
        <v>147</v>
      </c>
      <c r="M326" s="87" t="s">
        <v>61</v>
      </c>
      <c r="N326" s="86" t="s">
        <v>62</v>
      </c>
      <c r="O326" s="94">
        <v>39</v>
      </c>
      <c r="P326" s="86"/>
      <c r="Q326" s="98">
        <v>2372090</v>
      </c>
      <c r="R326" s="98"/>
      <c r="S326" s="98"/>
      <c r="T326" s="98"/>
      <c r="U326" s="96"/>
      <c r="V326" s="97"/>
      <c r="W326" s="34">
        <v>33573</v>
      </c>
      <c r="Y326" s="34">
        <f t="shared" si="41"/>
        <v>33573</v>
      </c>
      <c r="Z326" s="35">
        <f t="shared" si="42"/>
        <v>38687</v>
      </c>
      <c r="AA326" s="99"/>
      <c r="AB326" s="136"/>
      <c r="AC326" s="87" t="s">
        <v>1787</v>
      </c>
      <c r="AD326" s="87" t="s">
        <v>1788</v>
      </c>
      <c r="AE326" s="87" t="s">
        <v>1789</v>
      </c>
      <c r="AF326" s="87" t="s">
        <v>1790</v>
      </c>
      <c r="AG326" s="87" t="s">
        <v>1791</v>
      </c>
      <c r="AH326" s="87">
        <v>44022</v>
      </c>
      <c r="AI326" s="37"/>
      <c r="AJ326" s="87" t="s">
        <v>1792</v>
      </c>
      <c r="AK326" s="100"/>
      <c r="AL326" s="86">
        <v>38</v>
      </c>
      <c r="AM326" s="87"/>
      <c r="AN326" s="87"/>
      <c r="AO326" s="87"/>
      <c r="AP326" s="87"/>
      <c r="AQ326" s="87">
        <v>38</v>
      </c>
      <c r="AR326" s="87"/>
      <c r="AS326" s="87"/>
      <c r="AT326" s="87"/>
      <c r="AU326" s="87"/>
      <c r="AV326" s="87"/>
      <c r="BJ326" s="40">
        <v>3490015</v>
      </c>
      <c r="BK326" s="40">
        <f>VLOOKUP(M326,[1]EconBenMult!$B$12:$D$14,2,TRUE)*(BJ326/1000000)</f>
        <v>27.082516399999999</v>
      </c>
      <c r="BL326" s="31">
        <f>VLOOKUP(M326,[1]EconBenMult!$B$12:$D$14,3,TRUE)*(BJ326/1000000)</f>
        <v>1494522.2830206</v>
      </c>
    </row>
    <row r="327" spans="1:68" x14ac:dyDescent="0.2">
      <c r="A327" s="89" t="s">
        <v>1793</v>
      </c>
      <c r="B327" s="86">
        <v>1988</v>
      </c>
      <c r="C327" s="86" t="s">
        <v>1380</v>
      </c>
      <c r="D327" s="87" t="s">
        <v>1794</v>
      </c>
      <c r="E327" s="87" t="s">
        <v>1795</v>
      </c>
      <c r="F327" s="87" t="s">
        <v>1796</v>
      </c>
      <c r="G327" s="90">
        <v>59859</v>
      </c>
      <c r="H327" s="91"/>
      <c r="I327" s="91"/>
      <c r="J327" s="87" t="s">
        <v>1797</v>
      </c>
      <c r="K327" s="93">
        <v>0.09</v>
      </c>
      <c r="L327" s="86" t="s">
        <v>147</v>
      </c>
      <c r="M327" s="87" t="s">
        <v>95</v>
      </c>
      <c r="N327" s="86" t="s">
        <v>62</v>
      </c>
      <c r="O327" s="94">
        <v>9</v>
      </c>
      <c r="P327" s="86"/>
      <c r="Q327" s="98">
        <v>116000</v>
      </c>
      <c r="R327" s="98"/>
      <c r="S327" s="98"/>
      <c r="T327" s="98"/>
      <c r="U327" s="96"/>
      <c r="V327" s="97"/>
      <c r="W327" s="34">
        <v>32448</v>
      </c>
      <c r="Y327" s="34">
        <f t="shared" si="41"/>
        <v>32448</v>
      </c>
      <c r="Z327" s="35">
        <f t="shared" si="42"/>
        <v>37561</v>
      </c>
      <c r="AA327" s="99"/>
      <c r="AB327" s="136"/>
      <c r="AC327" s="87" t="s">
        <v>1798</v>
      </c>
      <c r="AD327" s="87" t="s">
        <v>1799</v>
      </c>
      <c r="AE327" s="87" t="s">
        <v>1800</v>
      </c>
      <c r="AF327" s="87" t="s">
        <v>666</v>
      </c>
      <c r="AG327" s="87" t="s">
        <v>67</v>
      </c>
      <c r="AH327" s="87">
        <v>59601</v>
      </c>
      <c r="AI327" s="37"/>
      <c r="AJ327" s="87" t="s">
        <v>1801</v>
      </c>
      <c r="AK327" s="100"/>
      <c r="AL327" s="86">
        <v>9</v>
      </c>
      <c r="AM327" s="87"/>
      <c r="AN327" s="87"/>
      <c r="AO327" s="87">
        <v>1</v>
      </c>
      <c r="AP327" s="87">
        <v>8</v>
      </c>
      <c r="AQ327" s="87"/>
      <c r="AR327" s="87"/>
      <c r="AS327" s="87"/>
      <c r="AT327" s="87"/>
      <c r="AU327" s="87"/>
      <c r="AV327" s="87"/>
      <c r="BJ327" s="40">
        <v>310923</v>
      </c>
      <c r="BK327" s="40">
        <f>VLOOKUP(M327,[1]EconBenMult!$B$12:$D$14,2,TRUE)*(BJ327/1000000)</f>
        <v>3.7404036899999999</v>
      </c>
      <c r="BL327" s="31">
        <f>VLOOKUP(M327,[1]EconBenMult!$B$12:$D$14,3,TRUE)*(BJ327/1000000)</f>
        <v>217406.33172854999</v>
      </c>
    </row>
    <row r="328" spans="1:68" x14ac:dyDescent="0.2">
      <c r="A328" s="89" t="s">
        <v>1802</v>
      </c>
      <c r="B328" s="86">
        <v>1988</v>
      </c>
      <c r="C328" s="86" t="s">
        <v>1380</v>
      </c>
      <c r="D328" s="87" t="s">
        <v>1803</v>
      </c>
      <c r="E328" s="87" t="s">
        <v>1804</v>
      </c>
      <c r="F328" s="87" t="s">
        <v>1805</v>
      </c>
      <c r="G328" s="90">
        <v>59422</v>
      </c>
      <c r="H328" s="91"/>
      <c r="I328" s="91"/>
      <c r="J328" s="87" t="s">
        <v>1806</v>
      </c>
      <c r="K328" s="93">
        <v>0.09</v>
      </c>
      <c r="L328" s="86" t="s">
        <v>147</v>
      </c>
      <c r="M328" s="87" t="s">
        <v>95</v>
      </c>
      <c r="N328" s="86" t="s">
        <v>62</v>
      </c>
      <c r="O328" s="94">
        <v>10</v>
      </c>
      <c r="P328" s="86"/>
      <c r="Q328" s="98">
        <v>139380</v>
      </c>
      <c r="R328" s="98"/>
      <c r="S328" s="98"/>
      <c r="T328" s="98"/>
      <c r="U328" s="96"/>
      <c r="V328" s="97"/>
      <c r="W328" s="34">
        <v>32417</v>
      </c>
      <c r="Y328" s="34">
        <f t="shared" si="41"/>
        <v>32417</v>
      </c>
      <c r="Z328" s="35">
        <f t="shared" si="42"/>
        <v>37530</v>
      </c>
      <c r="AA328" s="99"/>
      <c r="AB328" s="136"/>
      <c r="AC328" s="87" t="s">
        <v>1807</v>
      </c>
      <c r="AD328" s="87" t="s">
        <v>1808</v>
      </c>
      <c r="AE328" s="87" t="s">
        <v>1417</v>
      </c>
      <c r="AF328" s="87" t="s">
        <v>1809</v>
      </c>
      <c r="AG328" s="87" t="s">
        <v>67</v>
      </c>
      <c r="AH328" s="87">
        <v>59601</v>
      </c>
      <c r="AI328" s="37"/>
      <c r="AJ328" s="87" t="s">
        <v>1810</v>
      </c>
      <c r="AK328" s="100"/>
      <c r="AL328" s="86">
        <v>10</v>
      </c>
      <c r="AM328" s="87"/>
      <c r="AN328" s="87"/>
      <c r="AO328" s="87">
        <v>4</v>
      </c>
      <c r="AP328" s="87">
        <v>6</v>
      </c>
      <c r="AQ328" s="87"/>
      <c r="AR328" s="87"/>
      <c r="AS328" s="87"/>
      <c r="AT328" s="87"/>
      <c r="AU328" s="87"/>
      <c r="AV328" s="87"/>
      <c r="BJ328" s="40">
        <v>355562</v>
      </c>
      <c r="BK328" s="40">
        <f>VLOOKUP(M328,[1]EconBenMult!$B$12:$D$14,2,TRUE)*(BJ328/1000000)</f>
        <v>4.2774108599999998</v>
      </c>
      <c r="BL328" s="31">
        <f>VLOOKUP(M328,[1]EconBenMult!$B$12:$D$14,3,TRUE)*(BJ328/1000000)</f>
        <v>248619.20836369999</v>
      </c>
    </row>
    <row r="329" spans="1:68" x14ac:dyDescent="0.2">
      <c r="A329" s="89" t="s">
        <v>1811</v>
      </c>
      <c r="B329" s="86">
        <v>1988</v>
      </c>
      <c r="C329" s="86" t="s">
        <v>1380</v>
      </c>
      <c r="D329" s="87" t="s">
        <v>1812</v>
      </c>
      <c r="E329" s="87" t="s">
        <v>1813</v>
      </c>
      <c r="F329" s="87" t="s">
        <v>525</v>
      </c>
      <c r="G329" s="90">
        <v>59860</v>
      </c>
      <c r="H329" s="91"/>
      <c r="I329" s="91"/>
      <c r="J329" s="87" t="s">
        <v>441</v>
      </c>
      <c r="K329" s="93">
        <v>0.09</v>
      </c>
      <c r="L329" s="86" t="s">
        <v>147</v>
      </c>
      <c r="M329" s="87" t="s">
        <v>95</v>
      </c>
      <c r="N329" s="86" t="s">
        <v>62</v>
      </c>
      <c r="O329" s="94">
        <v>54</v>
      </c>
      <c r="P329" s="86"/>
      <c r="Q329" s="98">
        <v>856160</v>
      </c>
      <c r="R329" s="98"/>
      <c r="S329" s="98"/>
      <c r="T329" s="98"/>
      <c r="U329" s="96"/>
      <c r="V329" s="97"/>
      <c r="W329" s="34">
        <v>32417</v>
      </c>
      <c r="Y329" s="34">
        <f t="shared" si="41"/>
        <v>32417</v>
      </c>
      <c r="Z329" s="35">
        <f t="shared" si="42"/>
        <v>37530</v>
      </c>
      <c r="AA329" s="99"/>
      <c r="AB329" s="136"/>
      <c r="AC329" s="87" t="s">
        <v>1814</v>
      </c>
      <c r="AD329" s="87" t="s">
        <v>1714</v>
      </c>
      <c r="AE329" s="87" t="s">
        <v>1696</v>
      </c>
      <c r="AF329" s="87" t="s">
        <v>1697</v>
      </c>
      <c r="AG329" s="87" t="s">
        <v>688</v>
      </c>
      <c r="AH329" s="87">
        <v>80925</v>
      </c>
      <c r="AI329" s="37"/>
      <c r="AJ329" s="87" t="s">
        <v>1715</v>
      </c>
      <c r="AK329" s="100"/>
      <c r="AL329" s="86">
        <v>54</v>
      </c>
      <c r="AM329" s="87"/>
      <c r="AN329" s="87"/>
      <c r="AO329" s="87">
        <v>18</v>
      </c>
      <c r="AP329" s="87">
        <v>36</v>
      </c>
      <c r="AQ329" s="87"/>
      <c r="AR329" s="87"/>
      <c r="AS329" s="87"/>
      <c r="AT329" s="87"/>
      <c r="AU329" s="87"/>
      <c r="AV329" s="87"/>
      <c r="BJ329" s="40">
        <v>2173000</v>
      </c>
      <c r="BK329" s="40">
        <f>VLOOKUP(M329,[1]EconBenMult!$B$12:$D$14,2,TRUE)*(BJ329/1000000)</f>
        <v>26.141189999999998</v>
      </c>
      <c r="BL329" s="31">
        <f>VLOOKUP(M329,[1]EconBenMult!$B$12:$D$14,3,TRUE)*(BJ329/1000000)</f>
        <v>1519424.2910499999</v>
      </c>
    </row>
    <row r="330" spans="1:68" x14ac:dyDescent="0.2">
      <c r="A330" s="89" t="s">
        <v>1815</v>
      </c>
      <c r="B330" s="86">
        <v>1988</v>
      </c>
      <c r="C330" s="86" t="s">
        <v>1380</v>
      </c>
      <c r="D330" s="87" t="s">
        <v>1816</v>
      </c>
      <c r="E330" s="87" t="s">
        <v>1817</v>
      </c>
      <c r="F330" s="87" t="s">
        <v>93</v>
      </c>
      <c r="G330" s="90">
        <v>59715</v>
      </c>
      <c r="H330" s="91"/>
      <c r="I330" s="91"/>
      <c r="J330" s="87" t="s">
        <v>94</v>
      </c>
      <c r="K330" s="93">
        <v>0.09</v>
      </c>
      <c r="L330" s="86" t="s">
        <v>147</v>
      </c>
      <c r="M330" s="87" t="s">
        <v>61</v>
      </c>
      <c r="N330" s="86" t="s">
        <v>62</v>
      </c>
      <c r="O330" s="94">
        <v>28</v>
      </c>
      <c r="P330" s="86"/>
      <c r="Q330" s="98">
        <v>943830</v>
      </c>
      <c r="R330" s="98"/>
      <c r="S330" s="98"/>
      <c r="T330" s="98"/>
      <c r="U330" s="96"/>
      <c r="V330" s="97"/>
      <c r="W330" s="34">
        <v>32295</v>
      </c>
      <c r="Y330" s="34">
        <f t="shared" si="41"/>
        <v>32295</v>
      </c>
      <c r="Z330" s="35">
        <f t="shared" si="42"/>
        <v>37408</v>
      </c>
      <c r="AA330" s="99"/>
      <c r="AB330" s="136"/>
      <c r="AC330" s="87" t="s">
        <v>1818</v>
      </c>
      <c r="AD330" s="87" t="s">
        <v>1819</v>
      </c>
      <c r="AE330" s="87" t="s">
        <v>1820</v>
      </c>
      <c r="AF330" s="87" t="s">
        <v>1378</v>
      </c>
      <c r="AG330" s="87" t="s">
        <v>67</v>
      </c>
      <c r="AH330" s="87">
        <v>59104</v>
      </c>
      <c r="AI330" s="37"/>
      <c r="AJ330" s="87" t="s">
        <v>1821</v>
      </c>
      <c r="AK330" s="100"/>
      <c r="AL330" s="86">
        <v>28</v>
      </c>
      <c r="AM330" s="87"/>
      <c r="AN330" s="87"/>
      <c r="AO330" s="87">
        <v>1</v>
      </c>
      <c r="AP330" s="87">
        <v>21</v>
      </c>
      <c r="AQ330" s="87">
        <v>6</v>
      </c>
      <c r="AR330" s="87"/>
      <c r="AS330" s="87"/>
      <c r="AT330" s="87"/>
      <c r="AU330" s="87"/>
      <c r="AV330" s="87"/>
      <c r="BJ330" s="40">
        <v>1201288.8400000001</v>
      </c>
      <c r="BK330" s="40">
        <f>VLOOKUP(M330,[1]EconBenMult!$B$12:$D$14,2,TRUE)*(BJ330/1000000)</f>
        <v>9.3220013984000012</v>
      </c>
      <c r="BL330" s="31">
        <f>VLOOKUP(M330,[1]EconBenMult!$B$12:$D$14,3,TRUE)*(BJ330/1000000)</f>
        <v>514425.56542707363</v>
      </c>
    </row>
    <row r="331" spans="1:68" s="62" customFormat="1" x14ac:dyDescent="0.2">
      <c r="A331" s="89" t="s">
        <v>1822</v>
      </c>
      <c r="B331" s="86">
        <v>1988</v>
      </c>
      <c r="C331" s="86" t="s">
        <v>1380</v>
      </c>
      <c r="D331" s="87" t="s">
        <v>1823</v>
      </c>
      <c r="E331" s="87" t="s">
        <v>1824</v>
      </c>
      <c r="F331" s="87" t="s">
        <v>145</v>
      </c>
      <c r="G331" s="90">
        <v>59501</v>
      </c>
      <c r="H331" s="91"/>
      <c r="I331" s="91"/>
      <c r="J331" s="87" t="s">
        <v>146</v>
      </c>
      <c r="K331" s="93">
        <v>0.09</v>
      </c>
      <c r="L331" s="86" t="s">
        <v>147</v>
      </c>
      <c r="M331" s="87" t="s">
        <v>329</v>
      </c>
      <c r="N331" s="86" t="s">
        <v>62</v>
      </c>
      <c r="O331" s="94">
        <v>1</v>
      </c>
      <c r="P331" s="86"/>
      <c r="Q331" s="98">
        <v>9130</v>
      </c>
      <c r="R331" s="98"/>
      <c r="S331" s="98"/>
      <c r="T331" s="98"/>
      <c r="U331" s="96"/>
      <c r="V331" s="97"/>
      <c r="W331" s="34">
        <v>32843</v>
      </c>
      <c r="X331" s="34"/>
      <c r="Y331" s="34">
        <f t="shared" si="41"/>
        <v>32843</v>
      </c>
      <c r="Z331" s="35">
        <f t="shared" si="42"/>
        <v>37956</v>
      </c>
      <c r="AA331" s="99"/>
      <c r="AB331" s="136"/>
      <c r="AC331" s="87" t="s">
        <v>1825</v>
      </c>
      <c r="AD331" s="87"/>
      <c r="AE331" s="87" t="s">
        <v>1766</v>
      </c>
      <c r="AF331" s="87" t="s">
        <v>1613</v>
      </c>
      <c r="AG331" s="87" t="s">
        <v>67</v>
      </c>
      <c r="AH331" s="87">
        <v>59501</v>
      </c>
      <c r="AI331" s="37"/>
      <c r="AJ331" s="87" t="s">
        <v>1767</v>
      </c>
      <c r="AK331" s="100"/>
      <c r="AL331" s="86">
        <v>1</v>
      </c>
      <c r="AM331" s="87"/>
      <c r="AN331" s="87"/>
      <c r="AO331" s="87">
        <v>1</v>
      </c>
      <c r="AP331" s="87"/>
      <c r="AQ331" s="87"/>
      <c r="AR331" s="87"/>
      <c r="AS331" s="87"/>
      <c r="AT331" s="87"/>
      <c r="AU331" s="87"/>
      <c r="AV331" s="87"/>
      <c r="AW331" s="60"/>
      <c r="AX331" s="60"/>
      <c r="AY331" s="60"/>
      <c r="AZ331" s="60"/>
      <c r="BA331" s="60"/>
      <c r="BB331" s="60"/>
      <c r="BC331" s="60"/>
      <c r="BD331" s="60"/>
      <c r="BE331" s="60"/>
      <c r="BJ331" s="40">
        <v>12745</v>
      </c>
      <c r="BK331" s="40">
        <f>VLOOKUP(M331,[1]EconBenMult!$B$12:$D$14,2,TRUE)*(BJ331/1000000)</f>
        <v>9.8901199999999995E-2</v>
      </c>
      <c r="BL331" s="31">
        <f>VLOOKUP(M331,[1]EconBenMult!$B$12:$D$14,3,TRUE)*(BJ331/1000000)</f>
        <v>5457.7663697999997</v>
      </c>
      <c r="BM331" s="40"/>
      <c r="BN331" s="40"/>
      <c r="BO331" s="40"/>
      <c r="BP331" s="40"/>
    </row>
    <row r="332" spans="1:68" s="62" customFormat="1" x14ac:dyDescent="0.2">
      <c r="A332" s="89" t="s">
        <v>1826</v>
      </c>
      <c r="B332" s="86">
        <v>1987</v>
      </c>
      <c r="C332" s="86" t="s">
        <v>1380</v>
      </c>
      <c r="D332" s="87" t="s">
        <v>1827</v>
      </c>
      <c r="E332" s="87" t="s">
        <v>1828</v>
      </c>
      <c r="F332" s="87" t="s">
        <v>83</v>
      </c>
      <c r="G332" s="90">
        <v>59403</v>
      </c>
      <c r="H332" s="91"/>
      <c r="I332" s="91"/>
      <c r="J332" s="87" t="s">
        <v>84</v>
      </c>
      <c r="K332" s="93">
        <v>0.09</v>
      </c>
      <c r="L332" s="86" t="s">
        <v>147</v>
      </c>
      <c r="M332" s="87" t="s">
        <v>61</v>
      </c>
      <c r="N332" s="86" t="s">
        <v>62</v>
      </c>
      <c r="O332" s="94">
        <v>60</v>
      </c>
      <c r="P332" s="86"/>
      <c r="Q332" s="98">
        <v>2318260</v>
      </c>
      <c r="R332" s="98"/>
      <c r="S332" s="98"/>
      <c r="T332" s="98"/>
      <c r="U332" s="96"/>
      <c r="V332" s="97"/>
      <c r="W332" s="34">
        <v>32112</v>
      </c>
      <c r="X332" s="34"/>
      <c r="Y332" s="34">
        <f t="shared" si="41"/>
        <v>32112</v>
      </c>
      <c r="Z332" s="35">
        <f t="shared" si="42"/>
        <v>37226</v>
      </c>
      <c r="AA332" s="99"/>
      <c r="AB332" s="136"/>
      <c r="AC332" s="87" t="s">
        <v>1829</v>
      </c>
      <c r="AD332" s="87" t="s">
        <v>1830</v>
      </c>
      <c r="AE332" s="87" t="s">
        <v>1831</v>
      </c>
      <c r="AF332" s="87" t="s">
        <v>1832</v>
      </c>
      <c r="AG332" s="87" t="s">
        <v>1833</v>
      </c>
      <c r="AH332" s="87">
        <v>20016</v>
      </c>
      <c r="AI332" s="37"/>
      <c r="AJ332" s="87" t="s">
        <v>1834</v>
      </c>
      <c r="AK332" s="100"/>
      <c r="AL332" s="86">
        <v>60</v>
      </c>
      <c r="AM332" s="87"/>
      <c r="AN332" s="87"/>
      <c r="AO332" s="87">
        <v>30</v>
      </c>
      <c r="AP332" s="87">
        <v>30</v>
      </c>
      <c r="AQ332" s="87"/>
      <c r="AR332" s="87"/>
      <c r="AS332" s="87"/>
      <c r="AT332" s="87"/>
      <c r="AU332" s="87"/>
      <c r="AV332" s="87"/>
      <c r="AW332" s="60"/>
      <c r="AX332" s="60"/>
      <c r="AY332" s="60"/>
      <c r="AZ332" s="60"/>
      <c r="BA332" s="60"/>
      <c r="BB332" s="60"/>
      <c r="BC332" s="60"/>
      <c r="BD332" s="60"/>
      <c r="BE332" s="60"/>
      <c r="BJ332" s="40">
        <v>3168204</v>
      </c>
      <c r="BK332" s="40">
        <f>VLOOKUP(M332,[1]EconBenMult!$B$12:$D$14,2,TRUE)*(BJ332/1000000)</f>
        <v>24.585263039999997</v>
      </c>
      <c r="BL332" s="31">
        <f>VLOOKUP(M332,[1]EconBenMult!$B$12:$D$14,3,TRUE)*(BJ332/1000000)</f>
        <v>1356713.7892401598</v>
      </c>
      <c r="BM332" s="40"/>
      <c r="BN332" s="40"/>
      <c r="BO332" s="40"/>
      <c r="BP332" s="40"/>
    </row>
    <row r="333" spans="1:68" ht="15.75" customHeight="1" x14ac:dyDescent="0.2">
      <c r="A333" s="89" t="s">
        <v>1826</v>
      </c>
      <c r="B333" s="86">
        <v>1987</v>
      </c>
      <c r="C333" s="86" t="s">
        <v>1380</v>
      </c>
      <c r="D333" s="87" t="s">
        <v>1823</v>
      </c>
      <c r="E333" s="87" t="s">
        <v>1835</v>
      </c>
      <c r="F333" s="87" t="s">
        <v>145</v>
      </c>
      <c r="G333" s="90">
        <v>59501</v>
      </c>
      <c r="H333" s="91"/>
      <c r="I333" s="91"/>
      <c r="J333" s="87" t="s">
        <v>146</v>
      </c>
      <c r="K333" s="93">
        <v>0.09</v>
      </c>
      <c r="L333" s="86" t="s">
        <v>147</v>
      </c>
      <c r="M333" s="87" t="s">
        <v>61</v>
      </c>
      <c r="N333" s="86" t="s">
        <v>62</v>
      </c>
      <c r="O333" s="94">
        <v>3</v>
      </c>
      <c r="P333" s="86"/>
      <c r="Q333" s="98">
        <v>29580</v>
      </c>
      <c r="R333" s="98"/>
      <c r="S333" s="98"/>
      <c r="T333" s="98"/>
      <c r="U333" s="96"/>
      <c r="V333" s="97"/>
      <c r="W333" s="34">
        <v>32112</v>
      </c>
      <c r="Y333" s="34">
        <f t="shared" si="41"/>
        <v>32112</v>
      </c>
      <c r="Z333" s="35">
        <f t="shared" si="42"/>
        <v>37226</v>
      </c>
      <c r="AA333" s="99"/>
      <c r="AB333" s="136"/>
      <c r="AC333" s="87" t="s">
        <v>1836</v>
      </c>
      <c r="AD333" s="87"/>
      <c r="AE333" s="87" t="s">
        <v>1766</v>
      </c>
      <c r="AF333" s="87" t="s">
        <v>1613</v>
      </c>
      <c r="AG333" s="87" t="s">
        <v>67</v>
      </c>
      <c r="AH333" s="87">
        <v>59501</v>
      </c>
      <c r="AI333" s="37"/>
      <c r="AJ333" s="87" t="s">
        <v>1837</v>
      </c>
      <c r="AK333" s="100"/>
      <c r="AL333" s="86">
        <v>3</v>
      </c>
      <c r="AM333" s="87"/>
      <c r="AN333" s="87"/>
      <c r="AO333" s="87">
        <v>1</v>
      </c>
      <c r="AP333" s="87">
        <v>1</v>
      </c>
      <c r="AQ333" s="87"/>
      <c r="AR333" s="87">
        <v>1</v>
      </c>
      <c r="AS333" s="87"/>
      <c r="AT333" s="87"/>
      <c r="AU333" s="87"/>
      <c r="AV333" s="87"/>
      <c r="BJ333" s="40">
        <v>77000</v>
      </c>
      <c r="BK333" s="40">
        <f>VLOOKUP(M333,[1]EconBenMult!$B$12:$D$14,2,TRUE)*(BJ333/1000000)</f>
        <v>0.59751999999999994</v>
      </c>
      <c r="BL333" s="31">
        <f>VLOOKUP(M333,[1]EconBenMult!$B$12:$D$14,3,TRUE)*(BJ333/1000000)</f>
        <v>32973.559079999999</v>
      </c>
    </row>
    <row r="334" spans="1:68" ht="15.75" customHeight="1" x14ac:dyDescent="0.2">
      <c r="A334" s="89" t="s">
        <v>1826</v>
      </c>
      <c r="B334" s="86">
        <v>1987</v>
      </c>
      <c r="C334" s="86" t="s">
        <v>1380</v>
      </c>
      <c r="D334" s="87" t="s">
        <v>1763</v>
      </c>
      <c r="E334" s="87" t="s">
        <v>1838</v>
      </c>
      <c r="F334" s="87" t="s">
        <v>145</v>
      </c>
      <c r="G334" s="90">
        <v>59501</v>
      </c>
      <c r="H334" s="91"/>
      <c r="I334" s="91"/>
      <c r="J334" s="87" t="s">
        <v>146</v>
      </c>
      <c r="K334" s="93">
        <v>0.09</v>
      </c>
      <c r="L334" s="86" t="s">
        <v>147</v>
      </c>
      <c r="M334" s="87" t="s">
        <v>329</v>
      </c>
      <c r="N334" s="86" t="s">
        <v>62</v>
      </c>
      <c r="O334" s="94">
        <v>1</v>
      </c>
      <c r="P334" s="86"/>
      <c r="Q334" s="98">
        <v>3600</v>
      </c>
      <c r="R334" s="98"/>
      <c r="S334" s="98"/>
      <c r="T334" s="98"/>
      <c r="U334" s="96"/>
      <c r="V334" s="97"/>
      <c r="W334" s="34">
        <v>32112</v>
      </c>
      <c r="Y334" s="34">
        <f t="shared" si="41"/>
        <v>32112</v>
      </c>
      <c r="Z334" s="35">
        <f t="shared" si="42"/>
        <v>37226</v>
      </c>
      <c r="AA334" s="99"/>
      <c r="AB334" s="136"/>
      <c r="AC334" s="87" t="s">
        <v>1836</v>
      </c>
      <c r="AD334" s="87"/>
      <c r="AE334" s="87" t="s">
        <v>1766</v>
      </c>
      <c r="AF334" s="87" t="s">
        <v>1613</v>
      </c>
      <c r="AG334" s="87" t="s">
        <v>67</v>
      </c>
      <c r="AH334" s="87">
        <v>59501</v>
      </c>
      <c r="AI334" s="37"/>
      <c r="AJ334" s="87" t="s">
        <v>1837</v>
      </c>
      <c r="AK334" s="100"/>
      <c r="AL334" s="86">
        <v>1</v>
      </c>
      <c r="AM334" s="87"/>
      <c r="AN334" s="87"/>
      <c r="AO334" s="87"/>
      <c r="AP334" s="87">
        <v>1</v>
      </c>
      <c r="AQ334" s="87"/>
      <c r="AR334" s="87"/>
      <c r="AS334" s="87"/>
      <c r="AT334" s="87"/>
      <c r="AU334" s="87"/>
      <c r="AV334" s="87"/>
      <c r="BJ334" s="40">
        <v>9000</v>
      </c>
      <c r="BK334" s="40">
        <f>VLOOKUP(M334,[1]EconBenMult!$B$12:$D$14,2,TRUE)*(BJ334/1000000)</f>
        <v>6.9839999999999999E-2</v>
      </c>
      <c r="BL334" s="31">
        <f>VLOOKUP(M334,[1]EconBenMult!$B$12:$D$14,3,TRUE)*(BJ334/1000000)</f>
        <v>3854.0523599999997</v>
      </c>
    </row>
    <row r="335" spans="1:68" ht="15.75" customHeight="1" x14ac:dyDescent="0.2">
      <c r="A335" s="89" t="s">
        <v>1826</v>
      </c>
      <c r="B335" s="86">
        <v>1987</v>
      </c>
      <c r="C335" s="86" t="s">
        <v>1380</v>
      </c>
      <c r="D335" s="87" t="s">
        <v>1839</v>
      </c>
      <c r="E335" s="87" t="s">
        <v>1840</v>
      </c>
      <c r="F335" s="87" t="s">
        <v>145</v>
      </c>
      <c r="G335" s="90">
        <v>59501</v>
      </c>
      <c r="H335" s="91"/>
      <c r="I335" s="91"/>
      <c r="J335" s="87" t="s">
        <v>146</v>
      </c>
      <c r="K335" s="93">
        <v>0.09</v>
      </c>
      <c r="L335" s="86" t="s">
        <v>147</v>
      </c>
      <c r="M335" s="87" t="s">
        <v>329</v>
      </c>
      <c r="N335" s="86" t="s">
        <v>62</v>
      </c>
      <c r="O335" s="94">
        <v>2</v>
      </c>
      <c r="P335" s="86"/>
      <c r="Q335" s="98">
        <v>12600</v>
      </c>
      <c r="R335" s="98"/>
      <c r="S335" s="98"/>
      <c r="T335" s="98"/>
      <c r="U335" s="96"/>
      <c r="V335" s="97"/>
      <c r="W335" s="34">
        <v>32112</v>
      </c>
      <c r="Y335" s="34">
        <f t="shared" si="41"/>
        <v>32112</v>
      </c>
      <c r="Z335" s="35">
        <f t="shared" si="42"/>
        <v>37226</v>
      </c>
      <c r="AA335" s="99"/>
      <c r="AB335" s="136"/>
      <c r="AC335" s="87" t="s">
        <v>1836</v>
      </c>
      <c r="AD335" s="87"/>
      <c r="AE335" s="87" t="s">
        <v>1766</v>
      </c>
      <c r="AF335" s="87" t="s">
        <v>1613</v>
      </c>
      <c r="AG335" s="87" t="s">
        <v>67</v>
      </c>
      <c r="AH335" s="87">
        <v>59501</v>
      </c>
      <c r="AI335" s="37"/>
      <c r="AJ335" s="87" t="s">
        <v>1767</v>
      </c>
      <c r="AK335" s="100"/>
      <c r="AL335" s="86">
        <v>2</v>
      </c>
      <c r="AM335" s="87"/>
      <c r="AN335" s="87"/>
      <c r="AO335" s="87"/>
      <c r="AP335" s="87">
        <v>1</v>
      </c>
      <c r="AQ335" s="87">
        <v>1</v>
      </c>
      <c r="AR335" s="87"/>
      <c r="AS335" s="87"/>
      <c r="AT335" s="87"/>
      <c r="AU335" s="87"/>
      <c r="AV335" s="87"/>
      <c r="BJ335" s="40">
        <v>14000</v>
      </c>
      <c r="BK335" s="40">
        <f>VLOOKUP(M335,[1]EconBenMult!$B$12:$D$14,2,TRUE)*(BJ335/1000000)</f>
        <v>0.10864</v>
      </c>
      <c r="BL335" s="31">
        <f>VLOOKUP(M335,[1]EconBenMult!$B$12:$D$14,3,TRUE)*(BJ335/1000000)</f>
        <v>5995.1925599999995</v>
      </c>
    </row>
    <row r="336" spans="1:68" ht="15.75" customHeight="1" x14ac:dyDescent="0.2">
      <c r="A336" s="89" t="s">
        <v>1826</v>
      </c>
      <c r="B336" s="86">
        <v>1987</v>
      </c>
      <c r="C336" s="86" t="s">
        <v>1380</v>
      </c>
      <c r="D336" s="87" t="s">
        <v>1841</v>
      </c>
      <c r="E336" s="87" t="s">
        <v>1842</v>
      </c>
      <c r="F336" s="87" t="s">
        <v>145</v>
      </c>
      <c r="G336" s="90">
        <v>59501</v>
      </c>
      <c r="H336" s="91"/>
      <c r="I336" s="91"/>
      <c r="J336" s="87" t="s">
        <v>146</v>
      </c>
      <c r="K336" s="93">
        <v>0.09</v>
      </c>
      <c r="L336" s="86" t="s">
        <v>147</v>
      </c>
      <c r="M336" s="87" t="s">
        <v>329</v>
      </c>
      <c r="N336" s="86" t="s">
        <v>62</v>
      </c>
      <c r="O336" s="94">
        <v>2</v>
      </c>
      <c r="P336" s="86"/>
      <c r="Q336" s="98">
        <v>25200</v>
      </c>
      <c r="R336" s="98"/>
      <c r="S336" s="98"/>
      <c r="T336" s="98"/>
      <c r="U336" s="96"/>
      <c r="V336" s="97"/>
      <c r="W336" s="34">
        <v>32112</v>
      </c>
      <c r="Y336" s="34">
        <f t="shared" si="41"/>
        <v>32112</v>
      </c>
      <c r="Z336" s="35">
        <f t="shared" si="42"/>
        <v>37226</v>
      </c>
      <c r="AA336" s="99"/>
      <c r="AB336" s="136"/>
      <c r="AC336" s="87" t="s">
        <v>1843</v>
      </c>
      <c r="AD336" s="87"/>
      <c r="AE336" s="87" t="s">
        <v>1844</v>
      </c>
      <c r="AF336" s="87" t="s">
        <v>1613</v>
      </c>
      <c r="AG336" s="87" t="s">
        <v>67</v>
      </c>
      <c r="AH336" s="87">
        <v>59501</v>
      </c>
      <c r="AI336" s="37"/>
      <c r="AJ336" s="87" t="s">
        <v>1845</v>
      </c>
      <c r="AK336" s="100"/>
      <c r="AL336" s="86">
        <v>2</v>
      </c>
      <c r="AM336" s="87"/>
      <c r="AN336" s="87"/>
      <c r="AO336" s="87"/>
      <c r="AP336" s="87">
        <v>1</v>
      </c>
      <c r="AQ336" s="87">
        <v>1</v>
      </c>
      <c r="AR336" s="87"/>
      <c r="AS336" s="87"/>
      <c r="AT336" s="87"/>
      <c r="AU336" s="87"/>
      <c r="AV336" s="87"/>
      <c r="BJ336" s="40">
        <v>63000</v>
      </c>
      <c r="BK336" s="40">
        <f>VLOOKUP(M336,[1]EconBenMult!$B$12:$D$14,2,TRUE)*(BJ336/1000000)</f>
        <v>0.48887999999999998</v>
      </c>
      <c r="BL336" s="31">
        <f>VLOOKUP(M336,[1]EconBenMult!$B$12:$D$14,3,TRUE)*(BJ336/1000000)</f>
        <v>26978.36652</v>
      </c>
    </row>
    <row r="337" spans="1:64" ht="15.75" customHeight="1" x14ac:dyDescent="0.2">
      <c r="A337" s="89" t="s">
        <v>1826</v>
      </c>
      <c r="B337" s="86">
        <v>1987</v>
      </c>
      <c r="C337" s="86" t="s">
        <v>1380</v>
      </c>
      <c r="D337" s="87" t="s">
        <v>1846</v>
      </c>
      <c r="E337" s="87" t="s">
        <v>174</v>
      </c>
      <c r="F337" s="87" t="s">
        <v>113</v>
      </c>
      <c r="G337" s="90">
        <v>59102</v>
      </c>
      <c r="H337" s="91"/>
      <c r="I337" s="91"/>
      <c r="J337" s="87" t="s">
        <v>114</v>
      </c>
      <c r="K337" s="93">
        <v>0.09</v>
      </c>
      <c r="L337" s="86" t="s">
        <v>147</v>
      </c>
      <c r="M337" s="87" t="s">
        <v>95</v>
      </c>
      <c r="N337" s="86" t="s">
        <v>347</v>
      </c>
      <c r="O337" s="94">
        <v>100</v>
      </c>
      <c r="P337" s="86"/>
      <c r="Q337" s="98">
        <v>3805200</v>
      </c>
      <c r="R337" s="98"/>
      <c r="S337" s="98"/>
      <c r="T337" s="98"/>
      <c r="U337" s="96"/>
      <c r="V337" s="97"/>
      <c r="W337" s="34">
        <v>32112</v>
      </c>
      <c r="Y337" s="34">
        <f t="shared" si="41"/>
        <v>32112</v>
      </c>
      <c r="Z337" s="35">
        <f t="shared" si="42"/>
        <v>37226</v>
      </c>
      <c r="AA337" s="99"/>
      <c r="AB337" s="136"/>
      <c r="AC337" s="87" t="s">
        <v>1847</v>
      </c>
      <c r="AD337" s="87" t="s">
        <v>1848</v>
      </c>
      <c r="AE337" s="87" t="s">
        <v>1849</v>
      </c>
      <c r="AF337" s="87" t="s">
        <v>1482</v>
      </c>
      <c r="AG337" s="87" t="s">
        <v>1483</v>
      </c>
      <c r="AH337" s="87">
        <v>97201</v>
      </c>
      <c r="AI337" s="37"/>
      <c r="AJ337" s="87" t="s">
        <v>1850</v>
      </c>
      <c r="AK337" s="100"/>
      <c r="AL337" s="86">
        <v>100</v>
      </c>
      <c r="AM337" s="87"/>
      <c r="AN337" s="87"/>
      <c r="AO337" s="87">
        <v>100</v>
      </c>
      <c r="AP337" s="87"/>
      <c r="AQ337" s="87"/>
      <c r="AR337" s="87"/>
      <c r="AS337" s="87"/>
      <c r="AT337" s="87"/>
      <c r="AU337" s="87"/>
      <c r="AV337" s="87"/>
      <c r="BJ337" s="40">
        <v>4228000</v>
      </c>
      <c r="BK337" s="40">
        <f>VLOOKUP(M337,[1]EconBenMult!$B$12:$D$14,2,TRUE)*(BJ337/1000000)</f>
        <v>50.862839999999991</v>
      </c>
      <c r="BL337" s="31">
        <f>VLOOKUP(M337,[1]EconBenMult!$B$12:$D$14,3,TRUE)*(BJ337/1000000)</f>
        <v>2956339.5777999996</v>
      </c>
    </row>
    <row r="338" spans="1:64" ht="15.75" customHeight="1" x14ac:dyDescent="0.2">
      <c r="B338" s="24">
        <v>1987</v>
      </c>
      <c r="C338" s="150" t="s">
        <v>1851</v>
      </c>
      <c r="D338" s="25" t="s">
        <v>1852</v>
      </c>
      <c r="F338" s="25" t="s">
        <v>415</v>
      </c>
      <c r="G338" s="25"/>
      <c r="H338" s="151"/>
      <c r="I338" s="151"/>
      <c r="K338" s="25"/>
      <c r="L338" s="25"/>
      <c r="M338" s="26"/>
      <c r="O338" s="29">
        <v>2</v>
      </c>
      <c r="Q338" s="49">
        <v>19520</v>
      </c>
      <c r="R338" s="49"/>
      <c r="S338" s="49"/>
      <c r="T338" s="31"/>
      <c r="AI338" s="37"/>
      <c r="BJ338" s="40">
        <v>21688.59</v>
      </c>
      <c r="BK338" s="152"/>
      <c r="BL338" s="108"/>
    </row>
    <row r="339" spans="1:64" x14ac:dyDescent="0.2">
      <c r="B339" s="24">
        <v>1987</v>
      </c>
      <c r="C339" s="150" t="s">
        <v>1851</v>
      </c>
      <c r="D339" s="25" t="s">
        <v>1852</v>
      </c>
      <c r="F339" s="25" t="s">
        <v>415</v>
      </c>
      <c r="G339" s="25"/>
      <c r="H339" s="151"/>
      <c r="I339" s="151"/>
      <c r="K339" s="25"/>
      <c r="L339" s="25"/>
      <c r="M339" s="26"/>
      <c r="O339" s="29">
        <v>2</v>
      </c>
      <c r="Q339" s="49">
        <v>19520</v>
      </c>
      <c r="R339" s="49"/>
      <c r="S339" s="49"/>
      <c r="T339" s="49"/>
      <c r="AI339" s="37"/>
      <c r="BJ339" s="40">
        <v>21689</v>
      </c>
      <c r="BK339" s="152"/>
      <c r="BL339" s="108"/>
    </row>
    <row r="340" spans="1:64" x14ac:dyDescent="0.2">
      <c r="B340" s="24">
        <v>1988</v>
      </c>
      <c r="C340" s="150" t="s">
        <v>1851</v>
      </c>
      <c r="D340" s="25" t="s">
        <v>1853</v>
      </c>
      <c r="F340" s="25" t="s">
        <v>103</v>
      </c>
      <c r="G340" s="25"/>
      <c r="H340" s="151"/>
      <c r="I340" s="151"/>
      <c r="K340" s="25"/>
      <c r="L340" s="25"/>
      <c r="M340" s="26"/>
      <c r="O340" s="29">
        <v>50</v>
      </c>
      <c r="Q340" s="49">
        <v>65560</v>
      </c>
      <c r="R340" s="49"/>
      <c r="S340" s="49"/>
      <c r="T340" s="49"/>
      <c r="AI340" s="37"/>
      <c r="BJ340" s="40">
        <v>72853</v>
      </c>
      <c r="BK340" s="152"/>
      <c r="BL340" s="108"/>
    </row>
    <row r="341" spans="1:64" x14ac:dyDescent="0.2">
      <c r="B341" s="24">
        <v>1988</v>
      </c>
      <c r="C341" s="150" t="s">
        <v>1851</v>
      </c>
      <c r="D341" s="25" t="s">
        <v>1854</v>
      </c>
      <c r="F341" s="25" t="s">
        <v>113</v>
      </c>
      <c r="G341" s="25"/>
      <c r="H341" s="151"/>
      <c r="I341" s="151"/>
      <c r="K341" s="25"/>
      <c r="L341" s="25"/>
      <c r="M341" s="26"/>
      <c r="O341" s="29" t="s">
        <v>1217</v>
      </c>
      <c r="Q341" s="49">
        <v>0</v>
      </c>
      <c r="R341" s="49"/>
      <c r="S341" s="49"/>
      <c r="T341" s="49"/>
      <c r="AI341" s="37"/>
      <c r="BJ341" s="40" t="s">
        <v>1217</v>
      </c>
      <c r="BK341" s="152"/>
      <c r="BL341" s="108"/>
    </row>
    <row r="342" spans="1:64" x14ac:dyDescent="0.2">
      <c r="B342" s="24">
        <v>1989</v>
      </c>
      <c r="C342" s="150" t="s">
        <v>1851</v>
      </c>
      <c r="D342" s="25" t="s">
        <v>1716</v>
      </c>
      <c r="F342" s="25" t="s">
        <v>377</v>
      </c>
      <c r="G342" s="25"/>
      <c r="H342" s="151"/>
      <c r="I342" s="151"/>
      <c r="K342" s="25"/>
      <c r="L342" s="25"/>
      <c r="M342" s="26"/>
      <c r="O342" s="29">
        <v>30</v>
      </c>
      <c r="Q342" s="49">
        <v>440330</v>
      </c>
      <c r="R342" s="49"/>
      <c r="S342" s="49"/>
      <c r="T342" s="49"/>
      <c r="AI342" s="37"/>
      <c r="BJ342" s="40">
        <f>513718+587107</f>
        <v>1100825</v>
      </c>
      <c r="BK342" s="152"/>
      <c r="BL342" s="108"/>
    </row>
    <row r="343" spans="1:64" x14ac:dyDescent="0.2">
      <c r="B343" s="24">
        <v>1992</v>
      </c>
      <c r="C343" s="150" t="s">
        <v>1851</v>
      </c>
      <c r="D343" s="25" t="s">
        <v>1855</v>
      </c>
      <c r="F343" s="25" t="s">
        <v>108</v>
      </c>
      <c r="G343" s="25"/>
      <c r="H343" s="151"/>
      <c r="I343" s="151"/>
      <c r="K343" s="25"/>
      <c r="L343" s="25"/>
      <c r="M343" s="26" t="s">
        <v>1856</v>
      </c>
      <c r="O343" s="29">
        <v>96</v>
      </c>
      <c r="Q343" s="49">
        <v>3989700</v>
      </c>
      <c r="R343" s="49"/>
      <c r="S343" s="49"/>
      <c r="T343" s="49"/>
      <c r="AI343" s="37"/>
      <c r="BJ343" s="40">
        <v>4433000</v>
      </c>
      <c r="BK343" s="152"/>
      <c r="BL343" s="108"/>
    </row>
    <row r="344" spans="1:64" x14ac:dyDescent="0.2">
      <c r="B344" s="24">
        <v>1993</v>
      </c>
      <c r="C344" s="150" t="s">
        <v>1851</v>
      </c>
      <c r="D344" s="25" t="s">
        <v>1857</v>
      </c>
      <c r="F344" s="25" t="s">
        <v>108</v>
      </c>
      <c r="G344" s="25"/>
      <c r="H344" s="151"/>
      <c r="I344" s="151"/>
      <c r="M344" s="26" t="s">
        <v>1856</v>
      </c>
      <c r="O344" s="29">
        <v>6</v>
      </c>
      <c r="Q344" s="49">
        <v>362790</v>
      </c>
      <c r="R344" s="49"/>
      <c r="S344" s="49"/>
      <c r="T344" s="49"/>
      <c r="AI344" s="37"/>
      <c r="BJ344" s="40">
        <v>403100</v>
      </c>
      <c r="BK344" s="152"/>
      <c r="BL344" s="108"/>
    </row>
    <row r="345" spans="1:64" x14ac:dyDescent="0.2">
      <c r="B345" s="24">
        <v>1993</v>
      </c>
      <c r="C345" s="150" t="s">
        <v>1851</v>
      </c>
      <c r="D345" s="25" t="s">
        <v>1858</v>
      </c>
      <c r="F345" s="25" t="s">
        <v>108</v>
      </c>
      <c r="G345" s="25"/>
      <c r="H345" s="151"/>
      <c r="I345" s="151"/>
      <c r="M345" s="26" t="s">
        <v>1856</v>
      </c>
      <c r="O345" s="29">
        <v>6</v>
      </c>
      <c r="Q345" s="49">
        <v>364590</v>
      </c>
      <c r="R345" s="49"/>
      <c r="S345" s="49"/>
      <c r="T345" s="49"/>
      <c r="AI345" s="37"/>
      <c r="BJ345" s="40">
        <v>405100</v>
      </c>
      <c r="BK345" s="152"/>
      <c r="BL345" s="108"/>
    </row>
    <row r="346" spans="1:64" x14ac:dyDescent="0.2">
      <c r="B346" s="24">
        <v>1993</v>
      </c>
      <c r="C346" s="150" t="s">
        <v>1851</v>
      </c>
      <c r="D346" s="25" t="s">
        <v>1859</v>
      </c>
      <c r="F346" s="25" t="s">
        <v>108</v>
      </c>
      <c r="G346" s="25"/>
      <c r="H346" s="151"/>
      <c r="I346" s="151"/>
      <c r="M346" s="26" t="s">
        <v>1856</v>
      </c>
      <c r="O346" s="29">
        <v>6</v>
      </c>
      <c r="Q346" s="49">
        <v>365490</v>
      </c>
      <c r="R346" s="49"/>
      <c r="S346" s="49"/>
      <c r="T346" s="49"/>
      <c r="AI346" s="37"/>
      <c r="BJ346" s="40">
        <v>406100</v>
      </c>
      <c r="BK346" s="152"/>
      <c r="BL346" s="108"/>
    </row>
    <row r="347" spans="1:64" x14ac:dyDescent="0.2">
      <c r="B347" s="24">
        <v>1994</v>
      </c>
      <c r="C347" s="150" t="s">
        <v>1851</v>
      </c>
      <c r="D347" s="25" t="s">
        <v>1860</v>
      </c>
      <c r="F347" s="25" t="s">
        <v>83</v>
      </c>
      <c r="G347" s="25"/>
      <c r="H347" s="151"/>
      <c r="I347" s="151"/>
      <c r="M347" s="26" t="s">
        <v>1856</v>
      </c>
      <c r="O347" s="29">
        <v>48</v>
      </c>
      <c r="Q347" s="49">
        <v>2033940</v>
      </c>
      <c r="R347" s="49"/>
      <c r="S347" s="49"/>
      <c r="T347" s="49"/>
      <c r="AI347" s="37"/>
      <c r="BJ347" s="40">
        <v>2259934</v>
      </c>
      <c r="BK347" s="152"/>
      <c r="BL347" s="108"/>
    </row>
    <row r="348" spans="1:64" x14ac:dyDescent="0.2">
      <c r="B348" s="24">
        <v>1994</v>
      </c>
      <c r="C348" s="150" t="s">
        <v>1851</v>
      </c>
      <c r="D348" s="25" t="s">
        <v>1861</v>
      </c>
      <c r="F348" s="25" t="s">
        <v>83</v>
      </c>
      <c r="G348" s="25"/>
      <c r="H348" s="151"/>
      <c r="I348" s="151"/>
      <c r="M348" s="26" t="s">
        <v>1856</v>
      </c>
      <c r="O348" s="29">
        <v>20</v>
      </c>
      <c r="Q348" s="49">
        <v>1207620</v>
      </c>
      <c r="R348" s="49"/>
      <c r="S348" s="49"/>
      <c r="T348" s="49"/>
      <c r="AI348" s="37"/>
      <c r="BJ348" s="40">
        <v>1341795</v>
      </c>
      <c r="BK348" s="152"/>
      <c r="BL348" s="108"/>
    </row>
    <row r="349" spans="1:64" x14ac:dyDescent="0.2">
      <c r="B349" s="24">
        <v>1994</v>
      </c>
      <c r="C349" s="150" t="s">
        <v>1851</v>
      </c>
      <c r="D349" s="25" t="s">
        <v>1862</v>
      </c>
      <c r="F349" s="25" t="s">
        <v>103</v>
      </c>
      <c r="G349" s="25"/>
      <c r="H349" s="151"/>
      <c r="I349" s="151"/>
      <c r="M349" s="26" t="s">
        <v>1856</v>
      </c>
      <c r="O349" s="29">
        <v>7</v>
      </c>
      <c r="Q349" s="49">
        <v>221410</v>
      </c>
      <c r="R349" s="49"/>
      <c r="S349" s="49"/>
      <c r="T349" s="49"/>
      <c r="AI349" s="37"/>
      <c r="BJ349" s="40">
        <v>246012</v>
      </c>
      <c r="BK349" s="152"/>
      <c r="BL349" s="108"/>
    </row>
    <row r="350" spans="1:64" x14ac:dyDescent="0.2">
      <c r="B350" s="24">
        <v>1995</v>
      </c>
      <c r="C350" s="150" t="s">
        <v>1851</v>
      </c>
      <c r="D350" s="25" t="s">
        <v>1863</v>
      </c>
      <c r="F350" s="25" t="s">
        <v>113</v>
      </c>
      <c r="G350" s="25"/>
      <c r="H350" s="151"/>
      <c r="I350" s="151"/>
      <c r="M350" s="26"/>
      <c r="O350" s="29" t="s">
        <v>1217</v>
      </c>
      <c r="Q350" s="49">
        <v>0</v>
      </c>
      <c r="R350" s="49"/>
      <c r="S350" s="49"/>
      <c r="T350" s="49"/>
      <c r="AI350" s="37"/>
      <c r="BJ350" s="40" t="s">
        <v>1217</v>
      </c>
      <c r="BK350" s="152"/>
      <c r="BL350" s="108"/>
    </row>
    <row r="351" spans="1:64" x14ac:dyDescent="0.2">
      <c r="B351" s="24">
        <v>1996</v>
      </c>
      <c r="C351" s="150" t="s">
        <v>1851</v>
      </c>
      <c r="D351" s="25" t="s">
        <v>1864</v>
      </c>
      <c r="F351" s="25" t="s">
        <v>517</v>
      </c>
      <c r="G351" s="25"/>
      <c r="H351" s="151"/>
      <c r="I351" s="151"/>
      <c r="M351" s="26" t="s">
        <v>1856</v>
      </c>
      <c r="O351" s="24">
        <v>30</v>
      </c>
      <c r="Q351" s="49">
        <v>2616100</v>
      </c>
      <c r="R351" s="49"/>
      <c r="S351" s="49"/>
      <c r="T351" s="49"/>
      <c r="AI351" s="37"/>
      <c r="BJ351" s="40">
        <v>3240120</v>
      </c>
      <c r="BK351" s="152"/>
      <c r="BL351" s="108"/>
    </row>
    <row r="352" spans="1:64" x14ac:dyDescent="0.2">
      <c r="B352" s="24">
        <v>1996</v>
      </c>
      <c r="C352" s="150" t="s">
        <v>1851</v>
      </c>
      <c r="D352" s="25" t="s">
        <v>1865</v>
      </c>
      <c r="F352" s="25" t="s">
        <v>1866</v>
      </c>
      <c r="G352" s="25"/>
      <c r="H352" s="151"/>
      <c r="I352" s="151"/>
      <c r="M352" s="26" t="s">
        <v>1856</v>
      </c>
      <c r="O352" s="24"/>
      <c r="Q352" s="49">
        <v>930060</v>
      </c>
      <c r="R352" s="49"/>
      <c r="S352" s="49"/>
      <c r="T352" s="49"/>
      <c r="AI352" s="37"/>
      <c r="BJ352" s="40">
        <v>1033400</v>
      </c>
      <c r="BK352" s="152"/>
      <c r="BL352" s="108"/>
    </row>
    <row r="353" spans="2:64" x14ac:dyDescent="0.2">
      <c r="B353" s="24">
        <v>1997</v>
      </c>
      <c r="C353" s="150" t="s">
        <v>1851</v>
      </c>
      <c r="D353" s="25" t="s">
        <v>1867</v>
      </c>
      <c r="F353" s="25" t="s">
        <v>108</v>
      </c>
      <c r="G353" s="25"/>
      <c r="H353" s="151"/>
      <c r="I353" s="151"/>
      <c r="M353" s="26" t="s">
        <v>1856</v>
      </c>
      <c r="O353" s="29">
        <v>12</v>
      </c>
      <c r="Q353" s="49">
        <v>0</v>
      </c>
      <c r="R353" s="49"/>
      <c r="S353" s="49"/>
      <c r="T353" s="49"/>
      <c r="AI353" s="37"/>
      <c r="BJ353" s="40">
        <v>1186492</v>
      </c>
      <c r="BK353" s="152"/>
      <c r="BL353" s="108"/>
    </row>
    <row r="354" spans="2:64" x14ac:dyDescent="0.2">
      <c r="B354" s="24">
        <v>1997</v>
      </c>
      <c r="C354" s="150" t="s">
        <v>1851</v>
      </c>
      <c r="D354" s="25" t="s">
        <v>1868</v>
      </c>
      <c r="F354" s="25" t="s">
        <v>72</v>
      </c>
      <c r="G354" s="25"/>
      <c r="H354" s="151"/>
      <c r="I354" s="151"/>
      <c r="M354" s="26" t="s">
        <v>1856</v>
      </c>
      <c r="O354" s="29">
        <v>24</v>
      </c>
      <c r="Q354" s="49">
        <v>223160</v>
      </c>
      <c r="R354" s="49"/>
      <c r="S354" s="49"/>
      <c r="T354" s="49"/>
      <c r="AI354" s="37"/>
      <c r="BJ354" s="40">
        <v>797106</v>
      </c>
      <c r="BK354" s="152"/>
      <c r="BL354" s="108"/>
    </row>
    <row r="355" spans="2:64" x14ac:dyDescent="0.2">
      <c r="B355" s="24">
        <v>1997</v>
      </c>
      <c r="C355" s="150" t="s">
        <v>1851</v>
      </c>
      <c r="D355" s="25" t="s">
        <v>965</v>
      </c>
      <c r="F355" s="25" t="s">
        <v>72</v>
      </c>
      <c r="G355" s="25"/>
      <c r="H355" s="151"/>
      <c r="I355" s="151"/>
      <c r="M355" s="26" t="s">
        <v>1856</v>
      </c>
      <c r="O355" s="29">
        <v>11</v>
      </c>
      <c r="Q355" s="49">
        <v>480400</v>
      </c>
      <c r="R355" s="49"/>
      <c r="S355" s="49"/>
      <c r="T355" s="49"/>
      <c r="AI355" s="37"/>
      <c r="BJ355" s="40">
        <v>618882</v>
      </c>
      <c r="BK355" s="152"/>
      <c r="BL355" s="108"/>
    </row>
    <row r="356" spans="2:64" x14ac:dyDescent="0.2">
      <c r="B356" s="24">
        <v>1997</v>
      </c>
      <c r="C356" s="150" t="s">
        <v>1851</v>
      </c>
      <c r="D356" s="25" t="s">
        <v>1869</v>
      </c>
      <c r="F356" s="25" t="s">
        <v>210</v>
      </c>
      <c r="G356" s="25"/>
      <c r="H356" s="151"/>
      <c r="I356" s="151"/>
      <c r="M356" s="26" t="s">
        <v>1856</v>
      </c>
      <c r="O356" s="29">
        <v>36</v>
      </c>
      <c r="Q356" s="49">
        <v>1546650</v>
      </c>
      <c r="R356" s="49"/>
      <c r="S356" s="49"/>
      <c r="T356" s="49"/>
      <c r="AI356" s="37"/>
      <c r="BJ356" s="40">
        <v>1911885</v>
      </c>
      <c r="BK356" s="152"/>
      <c r="BL356" s="108"/>
    </row>
    <row r="357" spans="2:64" x14ac:dyDescent="0.2">
      <c r="B357" s="24">
        <v>1997</v>
      </c>
      <c r="C357" s="150" t="s">
        <v>1851</v>
      </c>
      <c r="D357" s="25" t="s">
        <v>1672</v>
      </c>
      <c r="F357" s="25" t="s">
        <v>246</v>
      </c>
      <c r="G357" s="25"/>
      <c r="H357" s="151"/>
      <c r="I357" s="151"/>
      <c r="M357" s="26" t="s">
        <v>1856</v>
      </c>
      <c r="O357" s="29">
        <v>32</v>
      </c>
      <c r="Q357" s="49">
        <v>1672930</v>
      </c>
      <c r="R357" s="49"/>
      <c r="S357" s="49"/>
      <c r="T357" s="49"/>
      <c r="AI357" s="37"/>
      <c r="BJ357" s="40">
        <v>2110655</v>
      </c>
      <c r="BK357" s="152"/>
      <c r="BL357" s="108"/>
    </row>
    <row r="358" spans="2:64" x14ac:dyDescent="0.2">
      <c r="B358" s="24">
        <v>1997</v>
      </c>
      <c r="C358" s="150" t="s">
        <v>1851</v>
      </c>
      <c r="D358" s="25" t="s">
        <v>1870</v>
      </c>
      <c r="F358" s="25" t="s">
        <v>1341</v>
      </c>
      <c r="G358" s="25"/>
      <c r="H358" s="151"/>
      <c r="I358" s="151"/>
      <c r="M358" s="26" t="s">
        <v>1856</v>
      </c>
      <c r="O358" s="29">
        <v>32</v>
      </c>
      <c r="Q358" s="49">
        <v>1333810</v>
      </c>
      <c r="R358" s="49"/>
      <c r="S358" s="49"/>
      <c r="T358" s="49"/>
      <c r="AI358" s="37"/>
      <c r="BJ358" s="40">
        <v>1731869</v>
      </c>
      <c r="BK358" s="152"/>
      <c r="BL358" s="108"/>
    </row>
    <row r="359" spans="2:64" x14ac:dyDescent="0.2">
      <c r="B359" s="24">
        <v>1997</v>
      </c>
      <c r="C359" s="150" t="s">
        <v>1851</v>
      </c>
      <c r="D359" s="25" t="s">
        <v>1871</v>
      </c>
      <c r="F359" s="25" t="s">
        <v>517</v>
      </c>
      <c r="G359" s="25"/>
      <c r="H359" s="151"/>
      <c r="I359" s="151"/>
      <c r="M359" s="26" t="s">
        <v>1856</v>
      </c>
      <c r="O359" s="29">
        <v>28</v>
      </c>
      <c r="Q359" s="49">
        <v>2675000</v>
      </c>
      <c r="R359" s="49"/>
      <c r="S359" s="49"/>
      <c r="T359" s="49"/>
      <c r="AI359" s="37"/>
      <c r="BJ359" s="40">
        <v>2606164</v>
      </c>
      <c r="BK359" s="152"/>
      <c r="BL359" s="108"/>
    </row>
    <row r="360" spans="2:64" x14ac:dyDescent="0.2">
      <c r="B360" s="24">
        <v>1998</v>
      </c>
      <c r="C360" s="150" t="s">
        <v>1851</v>
      </c>
      <c r="D360" s="25" t="s">
        <v>1278</v>
      </c>
      <c r="F360" s="25" t="s">
        <v>967</v>
      </c>
      <c r="G360" s="25"/>
      <c r="H360" s="151"/>
      <c r="I360" s="151"/>
      <c r="M360" s="26" t="s">
        <v>61</v>
      </c>
      <c r="O360" s="29">
        <v>31</v>
      </c>
      <c r="Q360" s="49">
        <v>2300000</v>
      </c>
      <c r="R360" s="49"/>
      <c r="S360" s="49"/>
      <c r="T360" s="49"/>
      <c r="AI360" s="37"/>
      <c r="BJ360" s="40" t="s">
        <v>1217</v>
      </c>
      <c r="BK360" s="152"/>
      <c r="BL360" s="108"/>
    </row>
    <row r="361" spans="2:64" x14ac:dyDescent="0.2">
      <c r="B361" s="24">
        <v>1998</v>
      </c>
      <c r="C361" s="150" t="s">
        <v>1851</v>
      </c>
      <c r="D361" s="25" t="s">
        <v>1872</v>
      </c>
      <c r="F361" s="25" t="s">
        <v>113</v>
      </c>
      <c r="G361" s="25"/>
      <c r="H361" s="151"/>
      <c r="I361" s="151"/>
      <c r="M361" s="26" t="s">
        <v>1856</v>
      </c>
      <c r="O361" s="29">
        <v>92</v>
      </c>
      <c r="Q361" s="49">
        <v>4180990</v>
      </c>
      <c r="R361" s="49"/>
      <c r="S361" s="49"/>
      <c r="T361" s="49"/>
      <c r="AI361" s="37"/>
      <c r="BJ361" s="40">
        <v>6060575</v>
      </c>
      <c r="BK361" s="152"/>
      <c r="BL361" s="108"/>
    </row>
    <row r="362" spans="2:64" x14ac:dyDescent="0.2">
      <c r="B362" s="24">
        <v>1998</v>
      </c>
      <c r="C362" s="150" t="s">
        <v>1851</v>
      </c>
      <c r="D362" s="25" t="s">
        <v>1873</v>
      </c>
      <c r="F362" s="25" t="s">
        <v>83</v>
      </c>
      <c r="G362" s="25"/>
      <c r="H362" s="151"/>
      <c r="I362" s="151"/>
      <c r="M362" s="26" t="s">
        <v>1856</v>
      </c>
      <c r="O362" s="29">
        <v>35</v>
      </c>
      <c r="Q362" s="49">
        <v>4180990</v>
      </c>
      <c r="R362" s="49"/>
      <c r="S362" s="49"/>
      <c r="T362" s="49"/>
      <c r="AI362" s="37"/>
      <c r="BJ362" s="40">
        <v>6342447</v>
      </c>
      <c r="BK362" s="152"/>
      <c r="BL362" s="108"/>
    </row>
    <row r="363" spans="2:64" x14ac:dyDescent="0.2">
      <c r="B363" s="24">
        <v>1999</v>
      </c>
      <c r="C363" s="150" t="s">
        <v>1851</v>
      </c>
      <c r="D363" s="25" t="s">
        <v>1874</v>
      </c>
      <c r="F363" s="25" t="s">
        <v>1054</v>
      </c>
      <c r="G363" s="25"/>
      <c r="H363" s="151"/>
      <c r="I363" s="151"/>
      <c r="M363" s="26" t="s">
        <v>1856</v>
      </c>
      <c r="O363" s="29">
        <v>56</v>
      </c>
      <c r="Q363" s="49">
        <v>2747040</v>
      </c>
      <c r="R363" s="49"/>
      <c r="S363" s="49"/>
      <c r="T363" s="49"/>
      <c r="AI363" s="37"/>
      <c r="BK363" s="152"/>
      <c r="BL363" s="108"/>
    </row>
    <row r="364" spans="2:64" x14ac:dyDescent="0.2">
      <c r="B364" s="24">
        <v>1999</v>
      </c>
      <c r="C364" s="150" t="s">
        <v>1851</v>
      </c>
      <c r="D364" s="25" t="s">
        <v>1875</v>
      </c>
      <c r="F364" s="25" t="s">
        <v>108</v>
      </c>
      <c r="G364" s="25"/>
      <c r="H364" s="151"/>
      <c r="I364" s="151"/>
      <c r="M364" s="26" t="s">
        <v>1856</v>
      </c>
      <c r="O364" s="29">
        <v>56</v>
      </c>
      <c r="Q364" s="49">
        <v>2700000</v>
      </c>
      <c r="R364" s="49"/>
      <c r="S364" s="49"/>
      <c r="T364" s="49"/>
      <c r="AI364" s="37"/>
      <c r="BK364" s="152"/>
      <c r="BL364" s="108"/>
    </row>
    <row r="365" spans="2:64" x14ac:dyDescent="0.2">
      <c r="B365" s="24">
        <v>1999</v>
      </c>
      <c r="C365" s="150" t="s">
        <v>1851</v>
      </c>
      <c r="D365" s="25" t="s">
        <v>1876</v>
      </c>
      <c r="F365" s="25" t="s">
        <v>113</v>
      </c>
      <c r="G365" s="25"/>
      <c r="H365" s="151"/>
      <c r="I365" s="151"/>
      <c r="M365" s="26" t="s">
        <v>1856</v>
      </c>
      <c r="O365" s="29">
        <v>50</v>
      </c>
      <c r="Q365" s="49">
        <v>2724300</v>
      </c>
      <c r="R365" s="49"/>
      <c r="S365" s="49"/>
      <c r="T365" s="49"/>
      <c r="AI365" s="37"/>
      <c r="BK365" s="152"/>
      <c r="BL365" s="108"/>
    </row>
    <row r="366" spans="2:64" x14ac:dyDescent="0.2">
      <c r="B366" s="24">
        <v>1999</v>
      </c>
      <c r="C366" s="150" t="s">
        <v>1851</v>
      </c>
      <c r="D366" s="25" t="s">
        <v>1877</v>
      </c>
      <c r="F366" s="25" t="s">
        <v>883</v>
      </c>
      <c r="G366" s="25"/>
      <c r="H366" s="151"/>
      <c r="I366" s="151"/>
      <c r="M366" s="26" t="s">
        <v>1856</v>
      </c>
      <c r="O366" s="29">
        <v>20</v>
      </c>
      <c r="Q366" s="49">
        <v>2308500</v>
      </c>
      <c r="R366" s="49"/>
      <c r="S366" s="49"/>
      <c r="T366" s="49"/>
      <c r="AI366" s="37"/>
      <c r="BK366" s="152"/>
      <c r="BL366" s="108"/>
    </row>
    <row r="367" spans="2:64" x14ac:dyDescent="0.2">
      <c r="B367" s="24">
        <v>1999</v>
      </c>
      <c r="C367" s="150" t="s">
        <v>1851</v>
      </c>
      <c r="D367" s="25" t="s">
        <v>1874</v>
      </c>
      <c r="F367" s="25" t="s">
        <v>1054</v>
      </c>
      <c r="G367" s="25"/>
      <c r="H367" s="151"/>
      <c r="I367" s="151"/>
      <c r="M367" s="26" t="s">
        <v>1856</v>
      </c>
      <c r="O367" s="29">
        <v>53</v>
      </c>
      <c r="Q367" s="49">
        <v>811150</v>
      </c>
      <c r="R367" s="49"/>
      <c r="S367" s="49"/>
      <c r="T367" s="49"/>
      <c r="AI367" s="37"/>
      <c r="BK367" s="152"/>
      <c r="BL367" s="108"/>
    </row>
    <row r="368" spans="2:64" x14ac:dyDescent="0.2">
      <c r="B368" s="24">
        <v>1999</v>
      </c>
      <c r="C368" s="150" t="s">
        <v>1851</v>
      </c>
      <c r="D368" s="25" t="s">
        <v>1878</v>
      </c>
      <c r="F368" s="25" t="s">
        <v>415</v>
      </c>
      <c r="G368" s="25"/>
      <c r="H368" s="151"/>
      <c r="I368" s="151"/>
      <c r="M368" s="26" t="s">
        <v>1856</v>
      </c>
      <c r="O368" s="29">
        <v>15</v>
      </c>
      <c r="Q368" s="49">
        <v>0</v>
      </c>
      <c r="R368" s="49"/>
      <c r="S368" s="49"/>
      <c r="T368" s="49"/>
      <c r="AI368" s="37"/>
      <c r="BK368" s="152"/>
      <c r="BL368" s="108"/>
    </row>
    <row r="369" spans="2:64" x14ac:dyDescent="0.2">
      <c r="B369" s="24">
        <v>1999</v>
      </c>
      <c r="C369" s="150" t="s">
        <v>1851</v>
      </c>
      <c r="D369" s="25" t="s">
        <v>1879</v>
      </c>
      <c r="F369" s="25" t="s">
        <v>113</v>
      </c>
      <c r="G369" s="25"/>
      <c r="H369" s="151"/>
      <c r="I369" s="151"/>
      <c r="M369" s="26" t="s">
        <v>1856</v>
      </c>
      <c r="O369" s="29">
        <v>41</v>
      </c>
      <c r="Q369" s="49">
        <v>2741740</v>
      </c>
      <c r="R369" s="49"/>
      <c r="S369" s="49"/>
      <c r="T369" s="49"/>
      <c r="AI369" s="37"/>
      <c r="BK369" s="152"/>
      <c r="BL369" s="108"/>
    </row>
    <row r="370" spans="2:64" x14ac:dyDescent="0.2">
      <c r="B370" s="24">
        <v>2000</v>
      </c>
      <c r="C370" s="150" t="s">
        <v>1851</v>
      </c>
      <c r="D370" s="25" t="s">
        <v>1880</v>
      </c>
      <c r="F370" s="25" t="s">
        <v>440</v>
      </c>
      <c r="G370" s="25"/>
      <c r="H370" s="151"/>
      <c r="I370" s="151"/>
      <c r="M370" s="26" t="s">
        <v>1856</v>
      </c>
      <c r="O370" s="29">
        <v>8</v>
      </c>
      <c r="Q370" s="49">
        <v>700000</v>
      </c>
      <c r="R370" s="49"/>
      <c r="S370" s="49"/>
      <c r="T370" s="49"/>
      <c r="AI370" s="37"/>
      <c r="BK370" s="152"/>
      <c r="BL370" s="108"/>
    </row>
    <row r="371" spans="2:64" x14ac:dyDescent="0.2">
      <c r="B371" s="24">
        <v>2000</v>
      </c>
      <c r="C371" s="150" t="s">
        <v>1851</v>
      </c>
      <c r="D371" s="25" t="s">
        <v>1881</v>
      </c>
      <c r="F371" s="25" t="s">
        <v>883</v>
      </c>
      <c r="G371" s="25"/>
      <c r="H371" s="151"/>
      <c r="I371" s="151"/>
      <c r="M371" s="26" t="s">
        <v>61</v>
      </c>
      <c r="Q371" s="49">
        <v>2663040</v>
      </c>
      <c r="R371" s="49"/>
      <c r="S371" s="49"/>
      <c r="T371" s="49"/>
      <c r="AI371" s="37"/>
      <c r="BK371" s="152"/>
      <c r="BL371" s="108"/>
    </row>
    <row r="372" spans="2:64" x14ac:dyDescent="0.2">
      <c r="B372" s="24">
        <v>2000</v>
      </c>
      <c r="C372" s="150" t="s">
        <v>1851</v>
      </c>
      <c r="D372" s="25" t="s">
        <v>1882</v>
      </c>
      <c r="F372" s="25" t="s">
        <v>93</v>
      </c>
      <c r="G372" s="25"/>
      <c r="H372" s="151"/>
      <c r="I372" s="151"/>
      <c r="M372" s="26" t="s">
        <v>1856</v>
      </c>
      <c r="O372" s="29">
        <v>28</v>
      </c>
      <c r="Q372" s="49">
        <v>2507300</v>
      </c>
      <c r="R372" s="49"/>
      <c r="S372" s="49"/>
      <c r="T372" s="49"/>
      <c r="AI372" s="37"/>
      <c r="BK372" s="152"/>
      <c r="BL372" s="108"/>
    </row>
    <row r="373" spans="2:64" x14ac:dyDescent="0.2">
      <c r="B373" s="24">
        <v>2000</v>
      </c>
      <c r="C373" s="150" t="s">
        <v>1851</v>
      </c>
      <c r="D373" s="25" t="s">
        <v>1883</v>
      </c>
      <c r="F373" s="25" t="s">
        <v>210</v>
      </c>
      <c r="G373" s="25"/>
      <c r="H373" s="151"/>
      <c r="I373" s="151"/>
      <c r="M373" s="26" t="s">
        <v>1856</v>
      </c>
      <c r="O373" s="29">
        <v>56</v>
      </c>
      <c r="Q373" s="49">
        <v>2756310</v>
      </c>
      <c r="R373" s="49"/>
      <c r="S373" s="49"/>
      <c r="T373" s="49"/>
      <c r="AI373" s="37"/>
      <c r="BK373" s="152"/>
      <c r="BL373" s="108"/>
    </row>
    <row r="374" spans="2:64" x14ac:dyDescent="0.2">
      <c r="B374" s="24">
        <v>2000</v>
      </c>
      <c r="C374" s="150" t="s">
        <v>1851</v>
      </c>
      <c r="D374" s="25" t="s">
        <v>1884</v>
      </c>
      <c r="F374" s="25" t="s">
        <v>113</v>
      </c>
      <c r="G374" s="25"/>
      <c r="H374" s="151"/>
      <c r="I374" s="151"/>
      <c r="M374" s="26" t="s">
        <v>1856</v>
      </c>
      <c r="O374" s="29">
        <v>30</v>
      </c>
      <c r="Q374" s="49">
        <v>1642370</v>
      </c>
      <c r="R374" s="49"/>
      <c r="S374" s="49"/>
      <c r="T374" s="49"/>
      <c r="AI374" s="37"/>
      <c r="BK374" s="152"/>
      <c r="BL374" s="108"/>
    </row>
    <row r="375" spans="2:64" x14ac:dyDescent="0.2">
      <c r="B375" s="24">
        <v>2000</v>
      </c>
      <c r="C375" s="150" t="s">
        <v>1851</v>
      </c>
      <c r="D375" s="25" t="s">
        <v>1885</v>
      </c>
      <c r="F375" s="25" t="s">
        <v>83</v>
      </c>
      <c r="G375" s="25"/>
      <c r="H375" s="151"/>
      <c r="I375" s="151"/>
      <c r="M375" s="26" t="s">
        <v>1856</v>
      </c>
      <c r="O375" s="29">
        <v>51</v>
      </c>
      <c r="Q375" s="49">
        <v>2751420</v>
      </c>
      <c r="R375" s="49"/>
      <c r="S375" s="49"/>
      <c r="T375" s="49"/>
      <c r="AI375" s="37"/>
      <c r="BK375" s="152"/>
      <c r="BL375" s="108"/>
    </row>
    <row r="376" spans="2:64" x14ac:dyDescent="0.2">
      <c r="B376" s="24">
        <v>2000</v>
      </c>
      <c r="C376" s="150" t="s">
        <v>1851</v>
      </c>
      <c r="D376" s="25" t="s">
        <v>1879</v>
      </c>
      <c r="F376" s="25" t="s">
        <v>1886</v>
      </c>
      <c r="G376" s="25"/>
      <c r="H376" s="151"/>
      <c r="I376" s="151"/>
      <c r="M376" s="26" t="s">
        <v>1856</v>
      </c>
      <c r="O376" s="29">
        <v>41</v>
      </c>
      <c r="Q376" s="49">
        <v>2750000</v>
      </c>
      <c r="R376" s="49"/>
      <c r="S376" s="49"/>
      <c r="T376" s="49"/>
      <c r="AI376" s="37"/>
      <c r="BK376" s="152"/>
      <c r="BL376" s="108"/>
    </row>
    <row r="377" spans="2:64" x14ac:dyDescent="0.2">
      <c r="B377" s="24">
        <v>2000</v>
      </c>
      <c r="C377" s="150" t="s">
        <v>1851</v>
      </c>
      <c r="D377" s="25" t="s">
        <v>1887</v>
      </c>
      <c r="F377" s="25" t="s">
        <v>113</v>
      </c>
      <c r="G377" s="25"/>
      <c r="H377" s="151"/>
      <c r="I377" s="151"/>
      <c r="M377" s="26" t="s">
        <v>1856</v>
      </c>
      <c r="O377" s="29">
        <v>50</v>
      </c>
      <c r="Q377" s="49">
        <v>2751420</v>
      </c>
      <c r="R377" s="49"/>
      <c r="S377" s="49"/>
      <c r="T377" s="49"/>
      <c r="AI377" s="37"/>
      <c r="BK377" s="152"/>
      <c r="BL377" s="108"/>
    </row>
    <row r="378" spans="2:64" x14ac:dyDescent="0.2">
      <c r="B378" s="24">
        <v>2001</v>
      </c>
      <c r="C378" s="150" t="s">
        <v>1851</v>
      </c>
      <c r="D378" s="25" t="s">
        <v>1115</v>
      </c>
      <c r="F378" s="25" t="s">
        <v>226</v>
      </c>
      <c r="G378" s="25"/>
      <c r="H378" s="151"/>
      <c r="I378" s="151"/>
      <c r="M378" s="26" t="s">
        <v>1856</v>
      </c>
      <c r="O378" s="29">
        <v>32</v>
      </c>
      <c r="Q378" s="49">
        <v>1679290</v>
      </c>
      <c r="R378" s="49"/>
      <c r="S378" s="49"/>
      <c r="T378" s="49"/>
      <c r="AI378" s="37"/>
      <c r="BK378" s="152"/>
      <c r="BL378" s="108"/>
    </row>
    <row r="379" spans="2:64" x14ac:dyDescent="0.2">
      <c r="B379" s="24">
        <v>2001</v>
      </c>
      <c r="C379" s="150" t="s">
        <v>1851</v>
      </c>
      <c r="D379" s="25" t="s">
        <v>1885</v>
      </c>
      <c r="F379" s="25" t="s">
        <v>83</v>
      </c>
      <c r="G379" s="25"/>
      <c r="H379" s="151"/>
      <c r="I379" s="151"/>
      <c r="M379" s="26" t="s">
        <v>1856</v>
      </c>
      <c r="O379" s="29">
        <v>51</v>
      </c>
      <c r="Q379" s="49">
        <v>2854550</v>
      </c>
      <c r="R379" s="49"/>
      <c r="S379" s="49"/>
      <c r="T379" s="49"/>
      <c r="AI379" s="37"/>
      <c r="BK379" s="152"/>
      <c r="BL379" s="108"/>
    </row>
    <row r="380" spans="2:64" x14ac:dyDescent="0.2">
      <c r="B380" s="24">
        <v>2001</v>
      </c>
      <c r="C380" s="150" t="s">
        <v>1851</v>
      </c>
      <c r="D380" s="25" t="s">
        <v>1888</v>
      </c>
      <c r="F380" s="25" t="s">
        <v>113</v>
      </c>
      <c r="G380" s="25"/>
      <c r="H380" s="151"/>
      <c r="I380" s="151"/>
      <c r="M380" s="26" t="s">
        <v>1856</v>
      </c>
      <c r="O380" s="29">
        <v>60</v>
      </c>
      <c r="Q380" s="49">
        <v>3951410</v>
      </c>
      <c r="R380" s="49"/>
      <c r="S380" s="49"/>
      <c r="T380" s="49"/>
      <c r="AI380" s="37"/>
      <c r="BK380" s="152"/>
      <c r="BL380" s="108"/>
    </row>
    <row r="381" spans="2:64" x14ac:dyDescent="0.2">
      <c r="B381" s="24">
        <v>2002</v>
      </c>
      <c r="C381" s="150" t="s">
        <v>1851</v>
      </c>
      <c r="D381" s="25" t="s">
        <v>1889</v>
      </c>
      <c r="F381" s="25" t="s">
        <v>517</v>
      </c>
      <c r="G381" s="25"/>
      <c r="H381" s="151"/>
      <c r="I381" s="151"/>
      <c r="M381" s="26" t="s">
        <v>61</v>
      </c>
      <c r="O381" s="29">
        <v>50</v>
      </c>
      <c r="Q381" s="49">
        <v>4173410</v>
      </c>
      <c r="R381" s="49"/>
      <c r="S381" s="49"/>
      <c r="T381" s="49"/>
      <c r="AI381" s="37"/>
      <c r="BK381" s="152"/>
      <c r="BL381" s="108"/>
    </row>
    <row r="382" spans="2:64" x14ac:dyDescent="0.2">
      <c r="B382" s="24">
        <v>2002</v>
      </c>
      <c r="C382" s="150" t="s">
        <v>1851</v>
      </c>
      <c r="D382" s="25" t="s">
        <v>1890</v>
      </c>
      <c r="F382" s="25" t="s">
        <v>262</v>
      </c>
      <c r="G382" s="25"/>
      <c r="H382" s="151"/>
      <c r="I382" s="151"/>
      <c r="M382" s="26" t="s">
        <v>1856</v>
      </c>
      <c r="O382" s="29">
        <v>25</v>
      </c>
      <c r="Q382" s="49">
        <v>1923920</v>
      </c>
      <c r="R382" s="49"/>
      <c r="S382" s="49"/>
      <c r="T382" s="49"/>
      <c r="AI382" s="37"/>
      <c r="BK382" s="152"/>
      <c r="BL382" s="108"/>
    </row>
    <row r="383" spans="2:64" x14ac:dyDescent="0.2">
      <c r="B383" s="24">
        <v>2003</v>
      </c>
      <c r="C383" s="150" t="s">
        <v>1851</v>
      </c>
      <c r="D383" s="25" t="s">
        <v>1891</v>
      </c>
      <c r="F383" s="25" t="s">
        <v>614</v>
      </c>
      <c r="G383" s="25"/>
      <c r="H383" s="151"/>
      <c r="I383" s="151"/>
      <c r="M383" s="26" t="s">
        <v>61</v>
      </c>
      <c r="O383" s="29">
        <v>31</v>
      </c>
      <c r="Q383" s="49">
        <v>2522950</v>
      </c>
      <c r="R383" s="49"/>
      <c r="S383" s="49"/>
      <c r="T383" s="49"/>
      <c r="AI383" s="37"/>
      <c r="BK383" s="152"/>
      <c r="BL383" s="108"/>
    </row>
    <row r="384" spans="2:64" x14ac:dyDescent="0.2">
      <c r="B384" s="24">
        <v>2003</v>
      </c>
      <c r="C384" s="150" t="s">
        <v>1851</v>
      </c>
      <c r="D384" s="25" t="s">
        <v>1892</v>
      </c>
      <c r="F384" s="25" t="s">
        <v>1054</v>
      </c>
      <c r="G384" s="25"/>
      <c r="H384" s="151"/>
      <c r="I384" s="151"/>
      <c r="M384" s="26" t="s">
        <v>1856</v>
      </c>
      <c r="O384" s="29">
        <v>31</v>
      </c>
      <c r="Q384" s="49">
        <v>2482530</v>
      </c>
      <c r="R384" s="49"/>
      <c r="S384" s="49"/>
      <c r="T384" s="49"/>
      <c r="AI384" s="37"/>
      <c r="BK384" s="152"/>
      <c r="BL384" s="108"/>
    </row>
    <row r="385" spans="1:68" x14ac:dyDescent="0.2">
      <c r="B385" s="24">
        <v>2003</v>
      </c>
      <c r="C385" s="150" t="s">
        <v>1851</v>
      </c>
      <c r="D385" s="25" t="s">
        <v>1893</v>
      </c>
      <c r="F385" s="25" t="s">
        <v>802</v>
      </c>
      <c r="G385" s="25"/>
      <c r="H385" s="151"/>
      <c r="I385" s="151"/>
      <c r="M385" s="26" t="s">
        <v>61</v>
      </c>
      <c r="O385" s="29">
        <v>36</v>
      </c>
      <c r="Q385" s="49">
        <v>2056220</v>
      </c>
      <c r="R385" s="49"/>
      <c r="S385" s="49"/>
      <c r="T385" s="49"/>
      <c r="AI385" s="37"/>
      <c r="BK385" s="152"/>
      <c r="BL385" s="108"/>
    </row>
    <row r="386" spans="1:68" x14ac:dyDescent="0.2">
      <c r="B386" s="24">
        <v>2003</v>
      </c>
      <c r="C386" s="150" t="s">
        <v>1851</v>
      </c>
      <c r="D386" s="25" t="s">
        <v>1894</v>
      </c>
      <c r="F386" s="25" t="s">
        <v>108</v>
      </c>
      <c r="G386" s="25"/>
      <c r="H386" s="151"/>
      <c r="I386" s="151"/>
      <c r="M386" s="26" t="s">
        <v>1856</v>
      </c>
      <c r="O386" s="29">
        <v>54</v>
      </c>
      <c r="Q386" s="49">
        <v>5074100</v>
      </c>
      <c r="R386" s="49"/>
      <c r="S386" s="49"/>
      <c r="T386" s="49"/>
      <c r="AI386" s="37"/>
      <c r="BK386" s="152"/>
      <c r="BL386" s="108"/>
    </row>
    <row r="387" spans="1:68" x14ac:dyDescent="0.2">
      <c r="B387" s="24">
        <v>2003</v>
      </c>
      <c r="C387" s="150" t="s">
        <v>1851</v>
      </c>
      <c r="D387" s="25" t="s">
        <v>1064</v>
      </c>
      <c r="F387" s="25" t="s">
        <v>262</v>
      </c>
      <c r="G387" s="25"/>
      <c r="H387" s="151"/>
      <c r="I387" s="151"/>
      <c r="M387" s="26" t="s">
        <v>1856</v>
      </c>
      <c r="O387" s="29">
        <v>31</v>
      </c>
      <c r="Q387" s="49">
        <v>2510220</v>
      </c>
      <c r="R387" s="49"/>
      <c r="S387" s="49"/>
      <c r="T387" s="49"/>
      <c r="AI387" s="37"/>
      <c r="BK387" s="152"/>
      <c r="BL387" s="108"/>
    </row>
    <row r="388" spans="1:68" x14ac:dyDescent="0.2">
      <c r="B388" s="24">
        <v>2003</v>
      </c>
      <c r="C388" s="150" t="s">
        <v>1851</v>
      </c>
      <c r="D388" s="25" t="s">
        <v>1895</v>
      </c>
      <c r="F388" s="25" t="s">
        <v>377</v>
      </c>
      <c r="G388" s="25"/>
      <c r="H388" s="151"/>
      <c r="I388" s="151"/>
      <c r="M388" s="26" t="s">
        <v>1856</v>
      </c>
      <c r="O388" s="29">
        <v>36</v>
      </c>
      <c r="Q388" s="49">
        <v>3600000</v>
      </c>
      <c r="R388" s="49"/>
      <c r="S388" s="49"/>
      <c r="T388" s="49"/>
      <c r="AI388" s="37"/>
      <c r="BK388" s="152"/>
      <c r="BL388" s="108"/>
    </row>
    <row r="389" spans="1:68" x14ac:dyDescent="0.2">
      <c r="B389" s="24">
        <v>2003</v>
      </c>
      <c r="C389" s="150" t="s">
        <v>1851</v>
      </c>
      <c r="D389" s="25" t="s">
        <v>1895</v>
      </c>
      <c r="F389" s="25" t="s">
        <v>377</v>
      </c>
      <c r="G389" s="25"/>
      <c r="H389" s="151"/>
      <c r="I389" s="151"/>
      <c r="M389" s="26" t="s">
        <v>1856</v>
      </c>
      <c r="O389" s="29">
        <v>18</v>
      </c>
      <c r="Q389" s="49">
        <v>1905310</v>
      </c>
      <c r="R389" s="49"/>
      <c r="S389" s="49"/>
      <c r="T389" s="49"/>
      <c r="AI389" s="37"/>
      <c r="BK389" s="152"/>
      <c r="BL389" s="108"/>
    </row>
    <row r="390" spans="1:68" x14ac:dyDescent="0.2">
      <c r="B390" s="24">
        <v>2003</v>
      </c>
      <c r="C390" s="150" t="s">
        <v>1851</v>
      </c>
      <c r="D390" s="25" t="s">
        <v>1896</v>
      </c>
      <c r="F390" s="25" t="s">
        <v>103</v>
      </c>
      <c r="G390" s="25"/>
      <c r="H390" s="151"/>
      <c r="I390" s="151"/>
      <c r="M390" s="26" t="s">
        <v>1856</v>
      </c>
      <c r="O390" s="29">
        <v>31</v>
      </c>
      <c r="Q390" s="49">
        <v>1900000</v>
      </c>
      <c r="R390" s="49"/>
      <c r="S390" s="49"/>
      <c r="T390" s="49"/>
      <c r="AI390" s="37"/>
      <c r="BK390" s="152"/>
      <c r="BL390" s="108"/>
    </row>
    <row r="391" spans="1:68" x14ac:dyDescent="0.2">
      <c r="B391" s="24">
        <v>2004</v>
      </c>
      <c r="C391" s="150" t="s">
        <v>1851</v>
      </c>
      <c r="D391" s="25" t="s">
        <v>1897</v>
      </c>
      <c r="F391" s="25" t="s">
        <v>262</v>
      </c>
      <c r="G391" s="25"/>
      <c r="H391" s="151"/>
      <c r="I391" s="151"/>
      <c r="M391" s="26" t="s">
        <v>1856</v>
      </c>
      <c r="O391" s="29">
        <v>8</v>
      </c>
      <c r="Q391" s="49">
        <v>764440</v>
      </c>
      <c r="R391" s="49"/>
      <c r="S391" s="49"/>
      <c r="T391" s="49"/>
      <c r="AI391" s="37"/>
      <c r="BK391" s="152"/>
      <c r="BL391" s="108"/>
    </row>
    <row r="392" spans="1:68" x14ac:dyDescent="0.2">
      <c r="B392" s="24">
        <v>2004</v>
      </c>
      <c r="C392" s="150" t="s">
        <v>1851</v>
      </c>
      <c r="D392" s="25" t="s">
        <v>1898</v>
      </c>
      <c r="F392" s="25" t="s">
        <v>1796</v>
      </c>
      <c r="G392" s="25"/>
      <c r="H392" s="151"/>
      <c r="I392" s="151"/>
      <c r="M392" s="26" t="s">
        <v>1856</v>
      </c>
      <c r="O392" s="29">
        <v>31</v>
      </c>
      <c r="Q392" s="49">
        <v>2429740</v>
      </c>
      <c r="R392" s="49"/>
      <c r="S392" s="49"/>
      <c r="T392" s="49"/>
      <c r="AI392" s="37"/>
      <c r="BK392" s="152"/>
      <c r="BL392" s="108"/>
    </row>
    <row r="393" spans="1:68" s="154" customFormat="1" x14ac:dyDescent="0.2">
      <c r="A393" s="34"/>
      <c r="B393" s="24">
        <v>2004</v>
      </c>
      <c r="C393" s="150" t="s">
        <v>1851</v>
      </c>
      <c r="D393" s="25" t="s">
        <v>1899</v>
      </c>
      <c r="E393" s="25"/>
      <c r="F393" s="25" t="s">
        <v>291</v>
      </c>
      <c r="G393" s="25"/>
      <c r="H393" s="151"/>
      <c r="I393" s="151"/>
      <c r="J393" s="25"/>
      <c r="K393" s="26"/>
      <c r="L393" s="24"/>
      <c r="M393" s="26" t="s">
        <v>1856</v>
      </c>
      <c r="N393" s="24"/>
      <c r="O393" s="29">
        <v>8</v>
      </c>
      <c r="P393" s="24"/>
      <c r="Q393" s="49">
        <v>940000</v>
      </c>
      <c r="R393" s="49"/>
      <c r="S393" s="49"/>
      <c r="T393" s="49"/>
      <c r="U393" s="32"/>
      <c r="V393" s="33"/>
      <c r="W393" s="34"/>
      <c r="X393" s="34"/>
      <c r="Y393" s="34"/>
      <c r="Z393" s="35"/>
      <c r="AA393" s="36"/>
      <c r="AB393" s="35"/>
      <c r="AC393" s="25"/>
      <c r="AD393" s="25"/>
      <c r="AE393" s="25"/>
      <c r="AF393" s="25"/>
      <c r="AG393" s="25"/>
      <c r="AH393" s="25"/>
      <c r="AI393" s="37"/>
      <c r="AJ393" s="25"/>
      <c r="AK393" s="42"/>
      <c r="AL393" s="24"/>
      <c r="AM393" s="25"/>
      <c r="AN393" s="25"/>
      <c r="AO393" s="25"/>
      <c r="AP393" s="25"/>
      <c r="AQ393" s="25"/>
      <c r="AR393" s="25"/>
      <c r="AS393" s="25"/>
      <c r="AT393" s="25"/>
      <c r="AU393" s="25"/>
      <c r="AV393" s="25"/>
      <c r="AW393" s="153"/>
      <c r="AX393" s="153"/>
      <c r="AY393" s="153"/>
      <c r="AZ393" s="153"/>
      <c r="BA393" s="153"/>
      <c r="BB393" s="153"/>
      <c r="BC393" s="153"/>
      <c r="BD393" s="153"/>
      <c r="BE393" s="153"/>
      <c r="BJ393" s="155"/>
      <c r="BK393" s="152"/>
      <c r="BL393" s="108"/>
      <c r="BM393" s="155"/>
      <c r="BN393" s="155"/>
      <c r="BO393" s="155"/>
      <c r="BP393" s="155"/>
    </row>
    <row r="394" spans="1:68" s="154" customFormat="1" x14ac:dyDescent="0.2">
      <c r="A394" s="34"/>
      <c r="B394" s="24">
        <v>2004</v>
      </c>
      <c r="C394" s="150" t="s">
        <v>1851</v>
      </c>
      <c r="D394" s="25" t="s">
        <v>1900</v>
      </c>
      <c r="E394" s="25"/>
      <c r="F394" s="25" t="s">
        <v>72</v>
      </c>
      <c r="G394" s="25"/>
      <c r="H394" s="151"/>
      <c r="I394" s="151"/>
      <c r="J394" s="25"/>
      <c r="K394" s="26"/>
      <c r="L394" s="24"/>
      <c r="M394" s="26" t="s">
        <v>1856</v>
      </c>
      <c r="N394" s="24"/>
      <c r="O394" s="29">
        <v>32</v>
      </c>
      <c r="P394" s="24"/>
      <c r="Q394" s="49">
        <v>3500000</v>
      </c>
      <c r="R394" s="49"/>
      <c r="S394" s="49"/>
      <c r="T394" s="49"/>
      <c r="U394" s="32"/>
      <c r="V394" s="33"/>
      <c r="W394" s="34"/>
      <c r="X394" s="34"/>
      <c r="Y394" s="34"/>
      <c r="Z394" s="35"/>
      <c r="AA394" s="36"/>
      <c r="AB394" s="35"/>
      <c r="AC394" s="25"/>
      <c r="AD394" s="25"/>
      <c r="AE394" s="25"/>
      <c r="AF394" s="25"/>
      <c r="AG394" s="25"/>
      <c r="AH394" s="25"/>
      <c r="AI394" s="37"/>
      <c r="AJ394" s="25"/>
      <c r="AK394" s="42"/>
      <c r="AL394" s="24"/>
      <c r="AM394" s="25"/>
      <c r="AN394" s="25"/>
      <c r="AO394" s="25"/>
      <c r="AP394" s="25"/>
      <c r="AQ394" s="25"/>
      <c r="AR394" s="25"/>
      <c r="AS394" s="25"/>
      <c r="AT394" s="25"/>
      <c r="AU394" s="25"/>
      <c r="AV394" s="25"/>
      <c r="AW394" s="153"/>
      <c r="AX394" s="153"/>
      <c r="AY394" s="153"/>
      <c r="AZ394" s="153"/>
      <c r="BA394" s="153"/>
      <c r="BB394" s="153"/>
      <c r="BC394" s="153"/>
      <c r="BD394" s="153"/>
      <c r="BE394" s="153"/>
      <c r="BJ394" s="155"/>
      <c r="BK394" s="152"/>
      <c r="BL394" s="108"/>
      <c r="BM394" s="155"/>
      <c r="BN394" s="155"/>
      <c r="BO394" s="155"/>
      <c r="BP394" s="155"/>
    </row>
    <row r="395" spans="1:68" x14ac:dyDescent="0.2">
      <c r="B395" s="24">
        <v>2004</v>
      </c>
      <c r="C395" s="150" t="s">
        <v>1851</v>
      </c>
      <c r="D395" s="25" t="s">
        <v>1901</v>
      </c>
      <c r="F395" s="25" t="s">
        <v>113</v>
      </c>
      <c r="G395" s="25"/>
      <c r="H395" s="151"/>
      <c r="I395" s="151"/>
      <c r="M395" s="26" t="s">
        <v>1856</v>
      </c>
      <c r="O395" s="29">
        <v>51</v>
      </c>
      <c r="Q395" s="49">
        <v>3391760</v>
      </c>
      <c r="R395" s="49"/>
      <c r="S395" s="49"/>
      <c r="T395" s="49"/>
      <c r="AI395" s="37"/>
      <c r="BK395" s="152"/>
      <c r="BL395" s="108"/>
    </row>
    <row r="396" spans="1:68" x14ac:dyDescent="0.2">
      <c r="B396" s="24">
        <v>2005</v>
      </c>
      <c r="C396" s="150" t="s">
        <v>1851</v>
      </c>
      <c r="D396" s="25" t="s">
        <v>1902</v>
      </c>
      <c r="F396" s="25" t="s">
        <v>377</v>
      </c>
      <c r="G396" s="25"/>
      <c r="H396" s="151"/>
      <c r="I396" s="151"/>
      <c r="M396" s="26"/>
      <c r="O396" s="24">
        <v>8</v>
      </c>
      <c r="Q396" s="49">
        <v>1000000</v>
      </c>
      <c r="R396" s="49"/>
      <c r="S396" s="49"/>
      <c r="T396" s="49"/>
      <c r="AI396" s="37"/>
      <c r="BK396" s="152"/>
      <c r="BL396" s="108"/>
    </row>
    <row r="397" spans="1:68" x14ac:dyDescent="0.2">
      <c r="B397" s="24">
        <v>2005</v>
      </c>
      <c r="C397" s="150" t="s">
        <v>1851</v>
      </c>
      <c r="D397" s="25" t="s">
        <v>1903</v>
      </c>
      <c r="F397" s="25" t="s">
        <v>108</v>
      </c>
      <c r="G397" s="25"/>
      <c r="H397" s="151"/>
      <c r="I397" s="151"/>
      <c r="M397" s="26"/>
      <c r="O397" s="24">
        <v>30</v>
      </c>
      <c r="Q397" s="49">
        <v>4310970</v>
      </c>
      <c r="R397" s="49"/>
      <c r="S397" s="49"/>
      <c r="T397" s="49"/>
      <c r="AI397" s="37"/>
      <c r="BK397" s="152"/>
      <c r="BL397" s="108"/>
    </row>
    <row r="398" spans="1:68" x14ac:dyDescent="0.2">
      <c r="B398" s="24">
        <v>2005</v>
      </c>
      <c r="C398" s="150" t="s">
        <v>1851</v>
      </c>
      <c r="D398" s="25" t="s">
        <v>1904</v>
      </c>
      <c r="F398" s="25" t="s">
        <v>440</v>
      </c>
      <c r="G398" s="25"/>
      <c r="H398" s="151"/>
      <c r="I398" s="151"/>
      <c r="M398" s="26"/>
      <c r="O398" s="24" t="s">
        <v>1217</v>
      </c>
      <c r="Q398" s="49">
        <v>4657250</v>
      </c>
      <c r="R398" s="49"/>
      <c r="S398" s="49"/>
      <c r="T398" s="49"/>
      <c r="AI398" s="37"/>
      <c r="BK398" s="152"/>
      <c r="BL398" s="108"/>
    </row>
    <row r="399" spans="1:68" x14ac:dyDescent="0.2">
      <c r="B399" s="24">
        <v>2005</v>
      </c>
      <c r="C399" s="150" t="s">
        <v>1851</v>
      </c>
      <c r="D399" s="25" t="s">
        <v>1905</v>
      </c>
      <c r="F399" s="25" t="s">
        <v>1796</v>
      </c>
      <c r="G399" s="25"/>
      <c r="H399" s="151"/>
      <c r="I399" s="151"/>
      <c r="M399" s="26"/>
      <c r="O399" s="24" t="s">
        <v>1217</v>
      </c>
      <c r="Q399" s="49">
        <v>2429740</v>
      </c>
      <c r="R399" s="49"/>
      <c r="S399" s="49"/>
      <c r="T399" s="49"/>
      <c r="AI399" s="37"/>
      <c r="BK399" s="152"/>
      <c r="BL399" s="108"/>
    </row>
    <row r="400" spans="1:68" x14ac:dyDescent="0.2">
      <c r="B400" s="24">
        <v>2006</v>
      </c>
      <c r="C400" s="150" t="s">
        <v>1851</v>
      </c>
      <c r="D400" s="25" t="s">
        <v>1906</v>
      </c>
      <c r="F400" s="25" t="s">
        <v>1642</v>
      </c>
      <c r="G400" s="25"/>
      <c r="H400" s="151"/>
      <c r="I400" s="151"/>
      <c r="M400" s="26"/>
      <c r="O400" s="29" t="s">
        <v>1217</v>
      </c>
      <c r="Q400" s="49">
        <v>0</v>
      </c>
      <c r="R400" s="49"/>
      <c r="S400" s="49"/>
      <c r="T400" s="49"/>
      <c r="AI400" s="37"/>
      <c r="BK400" s="152"/>
      <c r="BL400" s="108"/>
    </row>
    <row r="401" spans="2:64" x14ac:dyDescent="0.2">
      <c r="B401" s="24">
        <v>2006</v>
      </c>
      <c r="C401" s="150" t="s">
        <v>1851</v>
      </c>
      <c r="D401" s="25" t="s">
        <v>1907</v>
      </c>
      <c r="F401" s="25" t="s">
        <v>440</v>
      </c>
      <c r="G401" s="25"/>
      <c r="H401" s="151"/>
      <c r="I401" s="151"/>
      <c r="M401" s="26" t="s">
        <v>1217</v>
      </c>
      <c r="Q401" s="49">
        <v>0</v>
      </c>
      <c r="R401" s="49"/>
      <c r="S401" s="49"/>
      <c r="T401" s="49"/>
      <c r="AI401" s="37"/>
      <c r="BK401" s="152"/>
      <c r="BL401" s="108"/>
    </row>
    <row r="402" spans="2:64" x14ac:dyDescent="0.2">
      <c r="B402" s="24">
        <v>2006</v>
      </c>
      <c r="C402" s="150" t="s">
        <v>1851</v>
      </c>
      <c r="D402" s="25" t="s">
        <v>1908</v>
      </c>
      <c r="F402" s="25" t="s">
        <v>113</v>
      </c>
      <c r="G402" s="25"/>
      <c r="H402" s="151"/>
      <c r="I402" s="151"/>
      <c r="M402" s="26" t="s">
        <v>61</v>
      </c>
      <c r="Q402" s="49">
        <v>0</v>
      </c>
      <c r="R402" s="49"/>
      <c r="S402" s="49"/>
      <c r="T402" s="49"/>
      <c r="AI402" s="37"/>
      <c r="BK402" s="152"/>
      <c r="BL402" s="108"/>
    </row>
    <row r="403" spans="2:64" x14ac:dyDescent="0.2">
      <c r="B403" s="156">
        <v>2007</v>
      </c>
      <c r="C403" s="150" t="s">
        <v>1851</v>
      </c>
      <c r="D403" s="25" t="s">
        <v>1909</v>
      </c>
      <c r="F403" s="25" t="s">
        <v>1910</v>
      </c>
      <c r="G403" s="25"/>
      <c r="H403" s="151"/>
      <c r="I403" s="151"/>
      <c r="M403" s="26" t="s">
        <v>61</v>
      </c>
      <c r="O403" s="29">
        <v>16</v>
      </c>
      <c r="Q403" s="49">
        <v>709390</v>
      </c>
      <c r="R403" s="49"/>
      <c r="S403" s="49"/>
      <c r="T403" s="49"/>
      <c r="AI403" s="37"/>
      <c r="BK403" s="152"/>
      <c r="BL403" s="108"/>
    </row>
    <row r="404" spans="2:64" x14ac:dyDescent="0.2">
      <c r="B404" s="156">
        <v>2007</v>
      </c>
      <c r="C404" s="150" t="s">
        <v>1851</v>
      </c>
      <c r="D404" s="25" t="s">
        <v>1911</v>
      </c>
      <c r="F404" s="25" t="s">
        <v>889</v>
      </c>
      <c r="G404" s="25"/>
      <c r="H404" s="151"/>
      <c r="I404" s="151"/>
      <c r="M404" s="26" t="s">
        <v>61</v>
      </c>
      <c r="O404" s="29">
        <v>8</v>
      </c>
      <c r="Q404" s="49">
        <v>582390</v>
      </c>
      <c r="R404" s="49"/>
      <c r="S404" s="49"/>
      <c r="T404" s="49"/>
      <c r="AI404" s="37"/>
      <c r="BK404" s="152"/>
      <c r="BL404" s="108"/>
    </row>
    <row r="405" spans="2:64" x14ac:dyDescent="0.2">
      <c r="B405" s="156">
        <v>2007</v>
      </c>
      <c r="C405" s="150" t="s">
        <v>1851</v>
      </c>
      <c r="D405" s="25" t="s">
        <v>1912</v>
      </c>
      <c r="F405" s="25" t="s">
        <v>723</v>
      </c>
      <c r="G405" s="25"/>
      <c r="H405" s="151"/>
      <c r="I405" s="151"/>
      <c r="M405" s="26" t="s">
        <v>61</v>
      </c>
      <c r="O405" s="29">
        <v>12</v>
      </c>
      <c r="Q405" s="49">
        <v>622230</v>
      </c>
      <c r="R405" s="49"/>
      <c r="S405" s="49"/>
      <c r="T405" s="49"/>
      <c r="AI405" s="37"/>
      <c r="BK405" s="152"/>
      <c r="BL405" s="108"/>
    </row>
    <row r="406" spans="2:64" x14ac:dyDescent="0.2">
      <c r="B406" s="156">
        <v>2007</v>
      </c>
      <c r="C406" s="150" t="s">
        <v>1851</v>
      </c>
      <c r="D406" s="25" t="s">
        <v>865</v>
      </c>
      <c r="F406" s="25" t="s">
        <v>108</v>
      </c>
      <c r="G406" s="25"/>
      <c r="H406" s="151"/>
      <c r="I406" s="151"/>
      <c r="M406" s="26" t="s">
        <v>1856</v>
      </c>
      <c r="O406" s="29">
        <v>36</v>
      </c>
      <c r="Q406" s="49">
        <v>5481930</v>
      </c>
      <c r="R406" s="49"/>
      <c r="S406" s="49"/>
      <c r="T406" s="49"/>
      <c r="AI406" s="37"/>
      <c r="BK406" s="152"/>
      <c r="BL406" s="108"/>
    </row>
    <row r="407" spans="2:64" ht="15.75" customHeight="1" x14ac:dyDescent="0.2">
      <c r="B407" s="156">
        <v>2007</v>
      </c>
      <c r="C407" s="150" t="s">
        <v>1851</v>
      </c>
      <c r="D407" s="25" t="s">
        <v>1913</v>
      </c>
      <c r="F407" s="25" t="s">
        <v>614</v>
      </c>
      <c r="G407" s="25"/>
      <c r="H407" s="151"/>
      <c r="I407" s="151"/>
      <c r="M407" s="26" t="s">
        <v>1856</v>
      </c>
      <c r="O407" s="29">
        <v>24</v>
      </c>
      <c r="Q407" s="49">
        <v>4666300</v>
      </c>
      <c r="R407" s="49"/>
      <c r="S407" s="49"/>
      <c r="T407" s="49"/>
      <c r="AI407" s="37"/>
      <c r="BK407" s="152"/>
      <c r="BL407" s="108"/>
    </row>
    <row r="408" spans="2:64" x14ac:dyDescent="0.2">
      <c r="B408" s="156">
        <v>2007</v>
      </c>
      <c r="C408" s="150" t="s">
        <v>1851</v>
      </c>
      <c r="D408" s="25" t="s">
        <v>1914</v>
      </c>
      <c r="F408" s="25" t="s">
        <v>415</v>
      </c>
      <c r="G408" s="25"/>
      <c r="H408" s="151"/>
      <c r="I408" s="151"/>
      <c r="M408" s="26" t="s">
        <v>1856</v>
      </c>
      <c r="O408" s="29">
        <v>20</v>
      </c>
      <c r="Q408" s="49">
        <v>3639340</v>
      </c>
      <c r="R408" s="49"/>
      <c r="S408" s="49"/>
      <c r="T408" s="49"/>
      <c r="AI408" s="37"/>
      <c r="BK408" s="152"/>
      <c r="BL408" s="108"/>
    </row>
    <row r="409" spans="2:64" x14ac:dyDescent="0.2">
      <c r="B409" s="156">
        <v>2007</v>
      </c>
      <c r="C409" s="150" t="s">
        <v>1851</v>
      </c>
      <c r="D409" s="25" t="s">
        <v>1915</v>
      </c>
      <c r="F409" s="25" t="s">
        <v>113</v>
      </c>
      <c r="G409" s="25"/>
      <c r="H409" s="151"/>
      <c r="I409" s="151"/>
      <c r="M409" s="26" t="s">
        <v>1856</v>
      </c>
      <c r="O409" s="29">
        <v>45</v>
      </c>
      <c r="Q409" s="49">
        <v>5680000</v>
      </c>
      <c r="R409" s="49"/>
      <c r="S409" s="49"/>
      <c r="T409" s="49"/>
      <c r="AI409" s="37"/>
      <c r="BK409" s="152"/>
      <c r="BL409" s="108"/>
    </row>
    <row r="410" spans="2:64" x14ac:dyDescent="0.2">
      <c r="B410" s="156">
        <v>2007</v>
      </c>
      <c r="C410" s="150" t="s">
        <v>1851</v>
      </c>
      <c r="D410" s="25" t="s">
        <v>1916</v>
      </c>
      <c r="F410" s="25" t="s">
        <v>210</v>
      </c>
      <c r="G410" s="25"/>
      <c r="H410" s="151"/>
      <c r="I410" s="151"/>
      <c r="M410" s="26" t="s">
        <v>1856</v>
      </c>
      <c r="O410" s="29">
        <v>47</v>
      </c>
      <c r="Q410" s="49">
        <v>3684020</v>
      </c>
      <c r="R410" s="49"/>
      <c r="S410" s="49"/>
      <c r="T410" s="49"/>
      <c r="AI410" s="37"/>
      <c r="BK410" s="152"/>
      <c r="BL410" s="108"/>
    </row>
    <row r="411" spans="2:64" x14ac:dyDescent="0.2">
      <c r="B411" s="156">
        <v>2007</v>
      </c>
      <c r="C411" s="150" t="s">
        <v>1851</v>
      </c>
      <c r="D411" s="25" t="s">
        <v>1917</v>
      </c>
      <c r="F411" s="25" t="s">
        <v>72</v>
      </c>
      <c r="G411" s="25"/>
      <c r="H411" s="151"/>
      <c r="I411" s="151"/>
      <c r="M411" s="26" t="s">
        <v>1856</v>
      </c>
      <c r="O411" s="29">
        <v>46</v>
      </c>
      <c r="Q411" s="49">
        <v>5687500</v>
      </c>
      <c r="R411" s="49"/>
      <c r="S411" s="49"/>
      <c r="T411" s="49"/>
      <c r="AI411" s="37"/>
      <c r="BK411" s="152"/>
      <c r="BL411" s="108"/>
    </row>
    <row r="412" spans="2:64" x14ac:dyDescent="0.2">
      <c r="B412" s="156">
        <v>2007</v>
      </c>
      <c r="C412" s="150" t="s">
        <v>1851</v>
      </c>
      <c r="D412" s="25" t="s">
        <v>1918</v>
      </c>
      <c r="F412" s="25" t="s">
        <v>198</v>
      </c>
      <c r="G412" s="25"/>
      <c r="H412" s="151"/>
      <c r="I412" s="151"/>
      <c r="M412" s="26" t="s">
        <v>61</v>
      </c>
      <c r="O412" s="29">
        <v>32</v>
      </c>
      <c r="Q412" s="49">
        <v>2465760</v>
      </c>
      <c r="R412" s="49"/>
      <c r="S412" s="49"/>
      <c r="T412" s="49"/>
      <c r="AI412" s="37"/>
      <c r="BK412" s="152"/>
      <c r="BL412" s="108"/>
    </row>
    <row r="413" spans="2:64" x14ac:dyDescent="0.2">
      <c r="B413" s="24">
        <v>2008</v>
      </c>
      <c r="C413" s="150" t="s">
        <v>1851</v>
      </c>
      <c r="D413" s="25" t="s">
        <v>1919</v>
      </c>
      <c r="F413" s="25" t="s">
        <v>1920</v>
      </c>
      <c r="G413" s="25"/>
      <c r="H413" s="151"/>
      <c r="I413" s="151"/>
      <c r="M413" s="26" t="s">
        <v>1217</v>
      </c>
      <c r="O413" s="29" t="s">
        <v>1217</v>
      </c>
      <c r="Q413" s="49">
        <v>5234900</v>
      </c>
      <c r="R413" s="49"/>
      <c r="S413" s="49"/>
      <c r="T413" s="49"/>
      <c r="AI413" s="37"/>
      <c r="BK413" s="152"/>
      <c r="BL413" s="108"/>
    </row>
    <row r="414" spans="2:64" x14ac:dyDescent="0.2">
      <c r="B414" s="24">
        <v>2008</v>
      </c>
      <c r="C414" s="150" t="s">
        <v>1851</v>
      </c>
      <c r="D414" s="25" t="s">
        <v>1921</v>
      </c>
      <c r="F414" s="25" t="s">
        <v>692</v>
      </c>
      <c r="G414" s="25"/>
      <c r="H414" s="151"/>
      <c r="I414" s="151"/>
      <c r="M414" s="26" t="s">
        <v>1217</v>
      </c>
      <c r="O414" s="29" t="s">
        <v>1217</v>
      </c>
      <c r="Q414" s="49">
        <v>2900120</v>
      </c>
      <c r="R414" s="49"/>
      <c r="S414" s="49"/>
      <c r="T414" s="49"/>
      <c r="AI414" s="37"/>
      <c r="BK414" s="152"/>
      <c r="BL414" s="108"/>
    </row>
    <row r="415" spans="2:64" x14ac:dyDescent="0.2">
      <c r="B415" s="24">
        <v>2008</v>
      </c>
      <c r="C415" s="150" t="s">
        <v>1851</v>
      </c>
      <c r="D415" s="25" t="s">
        <v>1922</v>
      </c>
      <c r="F415" s="25" t="e">
        <v>#VALUE!</v>
      </c>
      <c r="G415" s="25"/>
      <c r="H415" s="151"/>
      <c r="I415" s="151"/>
      <c r="M415" s="26" t="s">
        <v>1856</v>
      </c>
      <c r="O415" s="29" t="s">
        <v>1217</v>
      </c>
      <c r="Q415" s="49">
        <v>5812500</v>
      </c>
      <c r="R415" s="49"/>
      <c r="S415" s="49"/>
      <c r="T415" s="49"/>
      <c r="AI415" s="37"/>
      <c r="BK415" s="152"/>
      <c r="BL415" s="108"/>
    </row>
    <row r="416" spans="2:64" x14ac:dyDescent="0.2">
      <c r="B416" s="24">
        <v>2009</v>
      </c>
      <c r="C416" s="150" t="s">
        <v>1851</v>
      </c>
      <c r="D416" s="25" t="s">
        <v>1923</v>
      </c>
      <c r="F416" s="25" t="s">
        <v>103</v>
      </c>
      <c r="G416" s="25"/>
      <c r="H416" s="151"/>
      <c r="I416" s="151"/>
      <c r="M416" s="26" t="s">
        <v>1856</v>
      </c>
      <c r="O416" s="29" t="s">
        <v>1924</v>
      </c>
      <c r="Q416" s="49">
        <v>8835000</v>
      </c>
      <c r="R416" s="49"/>
      <c r="S416" s="49"/>
      <c r="T416" s="49"/>
      <c r="AI416" s="37"/>
      <c r="BK416" s="152"/>
      <c r="BL416" s="108"/>
    </row>
    <row r="417" spans="2:64" x14ac:dyDescent="0.2">
      <c r="B417" s="24">
        <v>2009</v>
      </c>
      <c r="C417" s="150" t="s">
        <v>1851</v>
      </c>
      <c r="D417" s="25" t="s">
        <v>793</v>
      </c>
      <c r="F417" s="25" t="s">
        <v>795</v>
      </c>
      <c r="G417" s="25"/>
      <c r="H417" s="151"/>
      <c r="I417" s="151"/>
      <c r="M417" s="26" t="s">
        <v>1856</v>
      </c>
      <c r="O417" s="29">
        <v>40</v>
      </c>
      <c r="Q417" s="49">
        <v>6035710</v>
      </c>
      <c r="R417" s="49"/>
      <c r="S417" s="49"/>
      <c r="T417" s="49"/>
      <c r="AI417" s="37"/>
      <c r="BK417" s="152"/>
      <c r="BL417" s="108"/>
    </row>
    <row r="418" spans="2:64" x14ac:dyDescent="0.2">
      <c r="B418" s="24">
        <v>2010</v>
      </c>
      <c r="C418" s="150" t="s">
        <v>1851</v>
      </c>
      <c r="D418" s="25" t="s">
        <v>1925</v>
      </c>
      <c r="F418" s="25" t="s">
        <v>108</v>
      </c>
      <c r="G418" s="25"/>
      <c r="H418" s="151"/>
      <c r="I418" s="151"/>
      <c r="M418" s="28" t="s">
        <v>61</v>
      </c>
      <c r="O418" s="29">
        <v>60</v>
      </c>
      <c r="Q418" s="49">
        <v>4200000</v>
      </c>
      <c r="R418" s="49"/>
      <c r="S418" s="49"/>
      <c r="T418" s="49"/>
      <c r="AI418" s="37"/>
      <c r="BK418" s="152"/>
      <c r="BL418" s="108"/>
    </row>
    <row r="419" spans="2:64" x14ac:dyDescent="0.2">
      <c r="B419" s="24">
        <v>2011</v>
      </c>
      <c r="C419" s="150" t="s">
        <v>1851</v>
      </c>
      <c r="D419" s="25" t="s">
        <v>1926</v>
      </c>
      <c r="F419" s="25" t="s">
        <v>108</v>
      </c>
      <c r="G419" s="25"/>
      <c r="H419" s="151"/>
      <c r="I419" s="151"/>
      <c r="M419" s="28" t="s">
        <v>1856</v>
      </c>
      <c r="O419" s="29">
        <v>36</v>
      </c>
      <c r="Q419" s="49">
        <v>4217523</v>
      </c>
      <c r="R419" s="49"/>
      <c r="S419" s="49"/>
      <c r="T419" s="49"/>
      <c r="AI419" s="37"/>
      <c r="BK419" s="152"/>
      <c r="BL419" s="108"/>
    </row>
    <row r="420" spans="2:64" x14ac:dyDescent="0.2">
      <c r="B420" s="24">
        <v>2011</v>
      </c>
      <c r="C420" s="150" t="s">
        <v>1851</v>
      </c>
      <c r="D420" s="25" t="s">
        <v>1927</v>
      </c>
      <c r="F420" s="25" t="s">
        <v>93</v>
      </c>
      <c r="G420" s="25"/>
      <c r="H420" s="151"/>
      <c r="I420" s="151"/>
      <c r="M420" s="26" t="s">
        <v>1856</v>
      </c>
      <c r="O420" s="29">
        <v>42</v>
      </c>
      <c r="Q420" s="49">
        <v>6162500</v>
      </c>
      <c r="R420" s="49"/>
      <c r="S420" s="49"/>
      <c r="T420" s="49"/>
      <c r="AI420" s="37"/>
      <c r="BK420" s="152"/>
      <c r="BL420" s="108"/>
    </row>
    <row r="421" spans="2:64" x14ac:dyDescent="0.2">
      <c r="B421" s="24">
        <v>2011</v>
      </c>
      <c r="C421" s="150" t="s">
        <v>1851</v>
      </c>
      <c r="D421" s="25" t="s">
        <v>1928</v>
      </c>
      <c r="F421" s="25" t="s">
        <v>83</v>
      </c>
      <c r="G421" s="25"/>
      <c r="H421" s="151"/>
      <c r="I421" s="151"/>
      <c r="M421" s="26" t="s">
        <v>61</v>
      </c>
      <c r="O421" s="29">
        <v>129</v>
      </c>
      <c r="Q421" s="49">
        <v>5144160</v>
      </c>
      <c r="R421" s="49"/>
      <c r="S421" s="49"/>
      <c r="T421" s="49"/>
      <c r="AI421" s="37"/>
      <c r="BK421" s="152"/>
      <c r="BL421" s="108"/>
    </row>
    <row r="422" spans="2:64" x14ac:dyDescent="0.2">
      <c r="B422" s="24">
        <v>2011</v>
      </c>
      <c r="C422" s="150" t="s">
        <v>1851</v>
      </c>
      <c r="D422" s="25" t="s">
        <v>1929</v>
      </c>
      <c r="F422" s="25" t="s">
        <v>66</v>
      </c>
      <c r="G422" s="25"/>
      <c r="H422" s="151"/>
      <c r="I422" s="151"/>
      <c r="M422" s="26" t="s">
        <v>1856</v>
      </c>
      <c r="O422" s="29">
        <v>0</v>
      </c>
      <c r="Q422" s="49">
        <v>6118540</v>
      </c>
      <c r="R422" s="49"/>
      <c r="S422" s="49"/>
      <c r="T422" s="49"/>
      <c r="AI422" s="37"/>
      <c r="BK422" s="152"/>
      <c r="BL422" s="108"/>
    </row>
    <row r="423" spans="2:64" x14ac:dyDescent="0.2">
      <c r="B423" s="24">
        <v>2012</v>
      </c>
      <c r="C423" s="150" t="s">
        <v>1851</v>
      </c>
      <c r="D423" s="25" t="s">
        <v>1930</v>
      </c>
      <c r="F423" s="25" t="s">
        <v>103</v>
      </c>
      <c r="G423" s="25"/>
      <c r="H423" s="151"/>
      <c r="I423" s="151"/>
      <c r="M423" s="26" t="s">
        <v>1856</v>
      </c>
      <c r="O423" s="29">
        <v>30</v>
      </c>
      <c r="Q423" s="49">
        <v>6312500</v>
      </c>
      <c r="R423" s="49"/>
      <c r="S423" s="49"/>
      <c r="T423" s="49"/>
      <c r="AI423" s="37"/>
      <c r="BK423" s="152"/>
      <c r="BL423" s="108"/>
    </row>
    <row r="424" spans="2:64" x14ac:dyDescent="0.2">
      <c r="B424" s="24">
        <v>2012</v>
      </c>
      <c r="C424" s="150" t="s">
        <v>1851</v>
      </c>
      <c r="D424" s="25" t="s">
        <v>1931</v>
      </c>
      <c r="F424" s="25" t="s">
        <v>108</v>
      </c>
      <c r="G424" s="25"/>
      <c r="H424" s="151"/>
      <c r="I424" s="151"/>
      <c r="M424" s="26" t="s">
        <v>1856</v>
      </c>
      <c r="O424" s="29">
        <v>4</v>
      </c>
      <c r="Q424" s="49">
        <v>125000</v>
      </c>
      <c r="R424" s="49"/>
      <c r="S424" s="49"/>
      <c r="T424" s="49"/>
      <c r="AI424" s="37"/>
      <c r="BK424" s="152"/>
      <c r="BL424" s="108"/>
    </row>
    <row r="425" spans="2:64" x14ac:dyDescent="0.2">
      <c r="B425" s="24">
        <v>2012</v>
      </c>
      <c r="C425" s="150" t="s">
        <v>1851</v>
      </c>
      <c r="D425" s="25" t="s">
        <v>698</v>
      </c>
      <c r="F425" s="25" t="s">
        <v>145</v>
      </c>
      <c r="G425" s="25"/>
      <c r="H425" s="151"/>
      <c r="I425" s="151"/>
      <c r="M425" s="26" t="s">
        <v>61</v>
      </c>
      <c r="O425" s="29">
        <v>52</v>
      </c>
      <c r="Q425" s="49">
        <v>5637150</v>
      </c>
      <c r="R425" s="49"/>
      <c r="S425" s="49"/>
      <c r="T425" s="49"/>
      <c r="AI425" s="37"/>
      <c r="BK425" s="152"/>
      <c r="BL425" s="108"/>
    </row>
    <row r="426" spans="2:64" x14ac:dyDescent="0.2">
      <c r="B426" s="24">
        <v>2012</v>
      </c>
      <c r="C426" s="150" t="s">
        <v>1851</v>
      </c>
      <c r="D426" s="25" t="s">
        <v>1932</v>
      </c>
      <c r="F426" s="25" t="s">
        <v>93</v>
      </c>
      <c r="G426" s="25"/>
      <c r="H426" s="151"/>
      <c r="I426" s="151"/>
      <c r="M426" s="26" t="s">
        <v>1856</v>
      </c>
      <c r="O426" s="29">
        <v>40</v>
      </c>
      <c r="Q426" s="49">
        <v>6312500</v>
      </c>
      <c r="R426" s="49"/>
      <c r="S426" s="49"/>
      <c r="T426" s="49"/>
      <c r="AI426" s="37"/>
      <c r="BK426" s="152"/>
      <c r="BL426" s="108"/>
    </row>
    <row r="427" spans="2:64" x14ac:dyDescent="0.2">
      <c r="B427" s="24">
        <v>2012</v>
      </c>
      <c r="C427" s="150" t="s">
        <v>1851</v>
      </c>
      <c r="D427" s="25" t="s">
        <v>1926</v>
      </c>
      <c r="F427" s="25" t="s">
        <v>108</v>
      </c>
      <c r="G427" s="25"/>
      <c r="H427" s="151"/>
      <c r="I427" s="151"/>
      <c r="M427" s="26" t="s">
        <v>61</v>
      </c>
      <c r="O427" s="29">
        <v>36</v>
      </c>
      <c r="Q427" s="49">
        <v>5500000</v>
      </c>
      <c r="R427" s="49"/>
      <c r="S427" s="49"/>
      <c r="T427" s="49"/>
      <c r="AI427" s="37"/>
      <c r="BK427" s="152"/>
      <c r="BL427" s="108"/>
    </row>
    <row r="428" spans="2:64" x14ac:dyDescent="0.2">
      <c r="B428" s="24">
        <v>2012</v>
      </c>
      <c r="C428" s="150" t="s">
        <v>1851</v>
      </c>
      <c r="D428" s="25" t="s">
        <v>1933</v>
      </c>
      <c r="F428" s="25" t="s">
        <v>262</v>
      </c>
      <c r="G428" s="25"/>
      <c r="H428" s="151"/>
      <c r="I428" s="151"/>
      <c r="M428" s="26" t="s">
        <v>1856</v>
      </c>
      <c r="O428" s="29">
        <v>24</v>
      </c>
      <c r="Q428" s="49">
        <v>4576830</v>
      </c>
      <c r="R428" s="49"/>
      <c r="S428" s="49"/>
      <c r="T428" s="49"/>
      <c r="AI428" s="37"/>
      <c r="BK428" s="152"/>
      <c r="BL428" s="108"/>
    </row>
    <row r="429" spans="2:64" x14ac:dyDescent="0.2">
      <c r="B429" s="24">
        <v>2012</v>
      </c>
      <c r="C429" s="150" t="s">
        <v>1851</v>
      </c>
      <c r="D429" s="25" t="s">
        <v>1934</v>
      </c>
      <c r="F429" s="25" t="s">
        <v>103</v>
      </c>
      <c r="G429" s="25"/>
      <c r="H429" s="151"/>
      <c r="I429" s="151"/>
      <c r="M429" s="26" t="s">
        <v>61</v>
      </c>
      <c r="O429" s="29">
        <v>40</v>
      </c>
      <c r="Q429" s="49">
        <v>6293520</v>
      </c>
      <c r="R429" s="49"/>
      <c r="S429" s="49"/>
      <c r="T429" s="49"/>
      <c r="AI429" s="37"/>
      <c r="BK429" s="152"/>
      <c r="BL429" s="108"/>
    </row>
    <row r="430" spans="2:64" x14ac:dyDescent="0.2">
      <c r="B430" s="24">
        <v>2012</v>
      </c>
      <c r="C430" s="150" t="s">
        <v>1851</v>
      </c>
      <c r="D430" s="25" t="s">
        <v>1935</v>
      </c>
      <c r="F430" s="25" t="s">
        <v>1886</v>
      </c>
      <c r="G430" s="25"/>
      <c r="H430" s="151"/>
      <c r="I430" s="151"/>
      <c r="M430" s="26" t="s">
        <v>1856</v>
      </c>
      <c r="O430" s="29">
        <v>30</v>
      </c>
      <c r="Q430" s="49">
        <v>5596780</v>
      </c>
      <c r="R430" s="49"/>
      <c r="S430" s="49"/>
      <c r="T430" s="49"/>
      <c r="AI430" s="37"/>
      <c r="BK430" s="152"/>
      <c r="BL430" s="108"/>
    </row>
    <row r="431" spans="2:64" x14ac:dyDescent="0.2">
      <c r="B431" s="24">
        <v>2012</v>
      </c>
      <c r="C431" s="150" t="s">
        <v>1851</v>
      </c>
      <c r="D431" s="25" t="s">
        <v>1936</v>
      </c>
      <c r="F431" s="25" t="s">
        <v>66</v>
      </c>
      <c r="G431" s="25"/>
      <c r="H431" s="151"/>
      <c r="I431" s="151"/>
      <c r="M431" s="26" t="s">
        <v>61</v>
      </c>
      <c r="O431" s="29">
        <v>22</v>
      </c>
      <c r="Q431" s="49">
        <v>5392640</v>
      </c>
      <c r="R431" s="49"/>
      <c r="S431" s="49"/>
      <c r="T431" s="49"/>
      <c r="AI431" s="37"/>
      <c r="BK431" s="152"/>
      <c r="BL431" s="108"/>
    </row>
    <row r="432" spans="2:64" x14ac:dyDescent="0.2">
      <c r="B432" s="24">
        <v>2013</v>
      </c>
      <c r="C432" s="150" t="s">
        <v>1851</v>
      </c>
      <c r="D432" s="25" t="s">
        <v>1937</v>
      </c>
      <c r="F432" s="25" t="s">
        <v>66</v>
      </c>
      <c r="G432" s="25"/>
      <c r="H432" s="151"/>
      <c r="I432" s="151"/>
      <c r="M432" s="26" t="s">
        <v>1856</v>
      </c>
      <c r="O432" s="29">
        <v>15</v>
      </c>
      <c r="Q432" s="49">
        <v>2580000</v>
      </c>
      <c r="R432" s="49"/>
      <c r="S432" s="49"/>
      <c r="T432" s="49"/>
      <c r="AI432" s="37"/>
      <c r="BK432" s="152"/>
      <c r="BL432" s="108"/>
    </row>
    <row r="433" spans="2:64" x14ac:dyDescent="0.2">
      <c r="B433" s="24">
        <v>2013</v>
      </c>
      <c r="C433" s="150" t="s">
        <v>1851</v>
      </c>
      <c r="D433" s="25" t="s">
        <v>1938</v>
      </c>
      <c r="F433" s="25" t="s">
        <v>108</v>
      </c>
      <c r="G433" s="25"/>
      <c r="H433" s="151"/>
      <c r="I433" s="151"/>
      <c r="M433" s="26" t="s">
        <v>1856</v>
      </c>
      <c r="O433" s="29">
        <v>11</v>
      </c>
      <c r="Q433" s="49">
        <v>6475000</v>
      </c>
      <c r="R433" s="49"/>
      <c r="S433" s="49"/>
      <c r="T433" s="49"/>
      <c r="AI433" s="37"/>
      <c r="BK433" s="152"/>
      <c r="BL433" s="108"/>
    </row>
    <row r="434" spans="2:64" x14ac:dyDescent="0.2">
      <c r="B434" s="24">
        <v>2013</v>
      </c>
      <c r="C434" s="150" t="s">
        <v>1851</v>
      </c>
      <c r="D434" s="25" t="s">
        <v>1935</v>
      </c>
      <c r="F434" s="25" t="s">
        <v>113</v>
      </c>
      <c r="G434" s="25"/>
      <c r="H434" s="151"/>
      <c r="I434" s="151"/>
      <c r="M434" s="26" t="s">
        <v>1856</v>
      </c>
      <c r="O434" s="29">
        <v>30</v>
      </c>
      <c r="Q434" s="49">
        <v>6429860</v>
      </c>
      <c r="R434" s="49"/>
      <c r="S434" s="49"/>
      <c r="T434" s="49"/>
      <c r="AI434" s="37"/>
      <c r="BK434" s="152"/>
      <c r="BL434" s="108"/>
    </row>
    <row r="435" spans="2:64" x14ac:dyDescent="0.2">
      <c r="B435" s="24">
        <v>2013</v>
      </c>
      <c r="C435" s="150" t="s">
        <v>1851</v>
      </c>
      <c r="D435" s="25" t="s">
        <v>1939</v>
      </c>
      <c r="F435" s="25" t="s">
        <v>103</v>
      </c>
      <c r="G435" s="25"/>
      <c r="H435" s="151"/>
      <c r="I435" s="151"/>
      <c r="M435" s="26" t="s">
        <v>1856</v>
      </c>
      <c r="O435" s="29">
        <v>30</v>
      </c>
      <c r="Q435" s="49">
        <v>6475000</v>
      </c>
      <c r="R435" s="49"/>
      <c r="S435" s="49"/>
      <c r="T435" s="49"/>
      <c r="AI435" s="37"/>
      <c r="BK435" s="152"/>
      <c r="BL435" s="108"/>
    </row>
    <row r="436" spans="2:64" x14ac:dyDescent="0.2">
      <c r="B436" s="24">
        <v>2013</v>
      </c>
      <c r="C436" s="150" t="s">
        <v>1851</v>
      </c>
      <c r="D436" s="25" t="s">
        <v>1940</v>
      </c>
      <c r="F436" s="25" t="s">
        <v>645</v>
      </c>
      <c r="G436" s="25"/>
      <c r="H436" s="151"/>
      <c r="I436" s="151"/>
      <c r="M436" s="26" t="s">
        <v>1856</v>
      </c>
      <c r="O436" s="29">
        <v>27</v>
      </c>
      <c r="Q436" s="49">
        <v>5233000</v>
      </c>
      <c r="R436" s="49"/>
      <c r="S436" s="49"/>
      <c r="T436" s="49"/>
      <c r="AI436" s="37"/>
      <c r="BK436" s="152"/>
      <c r="BL436" s="108"/>
    </row>
    <row r="437" spans="2:64" x14ac:dyDescent="0.2">
      <c r="B437" s="24">
        <v>2013</v>
      </c>
      <c r="C437" s="150" t="s">
        <v>1851</v>
      </c>
      <c r="D437" s="25" t="s">
        <v>1941</v>
      </c>
      <c r="F437" s="25" t="s">
        <v>83</v>
      </c>
      <c r="G437" s="25"/>
      <c r="H437" s="151"/>
      <c r="I437" s="151"/>
      <c r="M437" s="26" t="s">
        <v>1856</v>
      </c>
      <c r="O437" s="29">
        <v>16</v>
      </c>
      <c r="Q437" s="49">
        <v>2699540</v>
      </c>
      <c r="R437" s="49"/>
      <c r="S437" s="49"/>
      <c r="T437" s="49"/>
      <c r="AI437" s="37"/>
      <c r="BK437" s="152"/>
      <c r="BL437" s="108"/>
    </row>
    <row r="438" spans="2:64" x14ac:dyDescent="0.2">
      <c r="B438" s="24">
        <v>2013</v>
      </c>
      <c r="C438" s="150" t="s">
        <v>1851</v>
      </c>
      <c r="D438" s="25" t="s">
        <v>1942</v>
      </c>
      <c r="F438" s="25" t="s">
        <v>636</v>
      </c>
      <c r="G438" s="25"/>
      <c r="H438" s="151"/>
      <c r="I438" s="151"/>
      <c r="M438" s="26" t="s">
        <v>1856</v>
      </c>
      <c r="O438" s="29">
        <v>36</v>
      </c>
      <c r="Q438" s="49">
        <v>5949940</v>
      </c>
      <c r="R438" s="49"/>
      <c r="S438" s="49"/>
      <c r="T438" s="49"/>
      <c r="AI438" s="37"/>
      <c r="BK438" s="152"/>
      <c r="BL438" s="108"/>
    </row>
    <row r="439" spans="2:64" x14ac:dyDescent="0.2">
      <c r="B439" s="24">
        <v>2013</v>
      </c>
      <c r="C439" s="150" t="s">
        <v>1851</v>
      </c>
      <c r="D439" s="25" t="s">
        <v>1943</v>
      </c>
      <c r="F439" s="25" t="s">
        <v>83</v>
      </c>
      <c r="G439" s="25"/>
      <c r="H439" s="151"/>
      <c r="I439" s="151"/>
      <c r="M439" s="26" t="s">
        <v>1856</v>
      </c>
      <c r="O439" s="29">
        <v>37</v>
      </c>
      <c r="Q439" s="49">
        <v>6475000</v>
      </c>
      <c r="R439" s="49"/>
      <c r="S439" s="49"/>
      <c r="T439" s="49"/>
      <c r="AI439" s="37"/>
      <c r="BK439" s="152"/>
      <c r="BL439" s="108"/>
    </row>
    <row r="440" spans="2:64" x14ac:dyDescent="0.2">
      <c r="B440" s="24">
        <v>2014</v>
      </c>
      <c r="C440" s="150" t="s">
        <v>1851</v>
      </c>
      <c r="D440" s="25" t="s">
        <v>1944</v>
      </c>
      <c r="F440" s="25" t="s">
        <v>108</v>
      </c>
      <c r="G440" s="25"/>
      <c r="H440" s="151"/>
      <c r="I440" s="151"/>
      <c r="M440" s="26" t="s">
        <v>61</v>
      </c>
      <c r="O440" s="29">
        <v>70</v>
      </c>
      <c r="Q440" s="49">
        <v>4717610</v>
      </c>
      <c r="R440" s="49"/>
      <c r="S440" s="49"/>
      <c r="T440" s="49"/>
      <c r="AI440" s="37"/>
      <c r="BK440" s="152"/>
      <c r="BL440" s="108"/>
    </row>
    <row r="441" spans="2:64" x14ac:dyDescent="0.2">
      <c r="B441" s="24">
        <v>2014</v>
      </c>
      <c r="C441" s="150" t="s">
        <v>1851</v>
      </c>
      <c r="D441" s="25" t="s">
        <v>1935</v>
      </c>
      <c r="E441" s="25" t="s">
        <v>307</v>
      </c>
      <c r="F441" s="25" t="s">
        <v>113</v>
      </c>
      <c r="G441" s="25"/>
      <c r="H441" s="151"/>
      <c r="I441" s="151"/>
      <c r="M441" s="26" t="s">
        <v>1856</v>
      </c>
      <c r="O441" s="29">
        <v>30</v>
      </c>
      <c r="Q441" s="49">
        <v>3953980</v>
      </c>
      <c r="R441" s="49"/>
      <c r="S441" s="49"/>
      <c r="T441" s="49"/>
      <c r="AI441" s="37"/>
      <c r="BK441" s="152"/>
      <c r="BL441" s="108"/>
    </row>
    <row r="442" spans="2:64" x14ac:dyDescent="0.2">
      <c r="B442" s="24">
        <v>2014</v>
      </c>
      <c r="C442" s="150" t="s">
        <v>1851</v>
      </c>
      <c r="D442" s="25" t="s">
        <v>1934</v>
      </c>
      <c r="F442" s="25" t="s">
        <v>103</v>
      </c>
      <c r="G442" s="25"/>
      <c r="H442" s="151"/>
      <c r="I442" s="151"/>
      <c r="M442" s="26" t="s">
        <v>1856</v>
      </c>
      <c r="O442" s="29">
        <v>36</v>
      </c>
      <c r="Q442" s="49">
        <v>5946470</v>
      </c>
      <c r="R442" s="49"/>
      <c r="S442" s="49"/>
      <c r="T442" s="49"/>
      <c r="AI442" s="37"/>
      <c r="BK442" s="152"/>
      <c r="BL442" s="108"/>
    </row>
    <row r="443" spans="2:64" x14ac:dyDescent="0.2">
      <c r="B443" s="24">
        <v>2014</v>
      </c>
      <c r="C443" s="150" t="s">
        <v>1851</v>
      </c>
      <c r="D443" s="25" t="s">
        <v>585</v>
      </c>
      <c r="F443" s="25" t="s">
        <v>93</v>
      </c>
      <c r="G443" s="25"/>
      <c r="H443" s="151"/>
      <c r="I443" s="151"/>
      <c r="M443" s="26" t="s">
        <v>1856</v>
      </c>
      <c r="O443" s="29">
        <v>48</v>
      </c>
      <c r="Q443" s="49">
        <v>6475000</v>
      </c>
      <c r="R443" s="49"/>
      <c r="S443" s="49"/>
      <c r="T443" s="49"/>
      <c r="AI443" s="37"/>
      <c r="BK443" s="152"/>
      <c r="BL443" s="108"/>
    </row>
    <row r="444" spans="2:64" x14ac:dyDescent="0.2">
      <c r="B444" s="24">
        <v>2014</v>
      </c>
      <c r="C444" s="150" t="s">
        <v>1851</v>
      </c>
      <c r="D444" s="25" t="s">
        <v>594</v>
      </c>
      <c r="F444" s="25" t="s">
        <v>596</v>
      </c>
      <c r="G444" s="25"/>
      <c r="H444" s="151"/>
      <c r="I444" s="151"/>
      <c r="M444" s="26" t="s">
        <v>1856</v>
      </c>
      <c r="O444" s="29">
        <v>16</v>
      </c>
      <c r="Q444" s="49">
        <v>2281560</v>
      </c>
      <c r="R444" s="49"/>
      <c r="S444" s="49"/>
      <c r="T444" s="49"/>
      <c r="AI444" s="37"/>
      <c r="BK444" s="152"/>
      <c r="BL444" s="108"/>
    </row>
    <row r="445" spans="2:64" x14ac:dyDescent="0.2">
      <c r="B445" s="24">
        <v>2014</v>
      </c>
      <c r="C445" s="150" t="s">
        <v>1851</v>
      </c>
      <c r="D445" s="25" t="s">
        <v>1926</v>
      </c>
      <c r="F445" s="25" t="s">
        <v>108</v>
      </c>
      <c r="G445" s="25"/>
      <c r="H445" s="151"/>
      <c r="I445" s="151"/>
      <c r="M445" s="26" t="s">
        <v>1856</v>
      </c>
      <c r="O445" s="29">
        <v>36</v>
      </c>
      <c r="Q445" s="49">
        <v>3060100</v>
      </c>
      <c r="R445" s="49"/>
      <c r="S445" s="49"/>
      <c r="T445" s="49"/>
      <c r="AI445" s="37"/>
      <c r="BK445" s="152"/>
      <c r="BL445" s="108"/>
    </row>
    <row r="446" spans="2:64" x14ac:dyDescent="0.2">
      <c r="B446" s="24">
        <v>2014</v>
      </c>
      <c r="C446" s="150" t="s">
        <v>1851</v>
      </c>
      <c r="D446" s="25" t="s">
        <v>788</v>
      </c>
      <c r="F446" s="25" t="s">
        <v>145</v>
      </c>
      <c r="G446" s="25"/>
      <c r="H446" s="151"/>
      <c r="I446" s="151"/>
      <c r="M446" s="26" t="s">
        <v>1856</v>
      </c>
      <c r="O446" s="29">
        <v>24</v>
      </c>
      <c r="Q446" s="49">
        <v>3751490</v>
      </c>
      <c r="R446" s="49"/>
      <c r="S446" s="49"/>
      <c r="T446" s="49"/>
      <c r="AI446" s="37"/>
      <c r="BK446" s="152"/>
      <c r="BL446" s="108"/>
    </row>
    <row r="447" spans="2:64" x14ac:dyDescent="0.2">
      <c r="B447" s="24">
        <v>2014</v>
      </c>
      <c r="C447" s="150" t="s">
        <v>1851</v>
      </c>
      <c r="D447" s="25" t="s">
        <v>1945</v>
      </c>
      <c r="F447" s="25" t="s">
        <v>66</v>
      </c>
      <c r="G447" s="25"/>
      <c r="H447" s="151"/>
      <c r="I447" s="151"/>
      <c r="M447" s="26" t="s">
        <v>1856</v>
      </c>
      <c r="O447" s="29">
        <v>15</v>
      </c>
      <c r="Q447" s="49">
        <v>1892250</v>
      </c>
      <c r="R447" s="49"/>
      <c r="S447" s="49"/>
      <c r="T447" s="49"/>
      <c r="AI447" s="37"/>
      <c r="BK447" s="152"/>
      <c r="BL447" s="108"/>
    </row>
    <row r="448" spans="2:64" ht="13.5" x14ac:dyDescent="0.25">
      <c r="B448" s="24">
        <v>2015</v>
      </c>
      <c r="C448" s="150" t="s">
        <v>1851</v>
      </c>
      <c r="D448" s="25" t="s">
        <v>1946</v>
      </c>
      <c r="F448" s="25" t="s">
        <v>967</v>
      </c>
      <c r="G448" s="25"/>
      <c r="H448" s="151"/>
      <c r="I448" s="151"/>
      <c r="M448" s="157"/>
      <c r="O448" s="29">
        <v>30</v>
      </c>
      <c r="Q448" s="49">
        <v>6100000</v>
      </c>
      <c r="R448" s="49"/>
      <c r="S448" s="49"/>
      <c r="T448" s="49"/>
      <c r="AI448" s="37"/>
      <c r="BK448" s="152"/>
      <c r="BL448" s="108"/>
    </row>
    <row r="449" spans="2:64" ht="15.75" customHeight="1" x14ac:dyDescent="0.2">
      <c r="B449" s="24">
        <v>2015</v>
      </c>
      <c r="C449" s="150" t="s">
        <v>1851</v>
      </c>
      <c r="D449" s="25" t="s">
        <v>1947</v>
      </c>
      <c r="F449" s="25" t="s">
        <v>568</v>
      </c>
      <c r="G449" s="25"/>
      <c r="H449" s="151"/>
      <c r="I449" s="151"/>
      <c r="M449" s="26" t="s">
        <v>61</v>
      </c>
      <c r="O449" s="29">
        <v>24</v>
      </c>
      <c r="Q449" s="49">
        <v>1700000</v>
      </c>
      <c r="R449" s="49"/>
      <c r="S449" s="49"/>
      <c r="T449" s="49"/>
      <c r="AI449" s="37"/>
      <c r="BK449" s="152"/>
      <c r="BL449" s="108"/>
    </row>
    <row r="450" spans="2:64" x14ac:dyDescent="0.2">
      <c r="B450" s="24">
        <v>2015</v>
      </c>
      <c r="C450" s="150" t="s">
        <v>1851</v>
      </c>
      <c r="D450" s="25" t="s">
        <v>382</v>
      </c>
      <c r="F450" s="25" t="s">
        <v>384</v>
      </c>
      <c r="G450" s="25"/>
      <c r="H450" s="151"/>
      <c r="I450" s="151"/>
      <c r="M450" s="26" t="s">
        <v>61</v>
      </c>
      <c r="O450" s="29">
        <v>32</v>
      </c>
      <c r="Q450" s="49">
        <v>2590000</v>
      </c>
      <c r="R450" s="49"/>
      <c r="S450" s="49"/>
      <c r="T450" s="49"/>
      <c r="AI450" s="37"/>
      <c r="BK450" s="152"/>
      <c r="BL450" s="108"/>
    </row>
    <row r="451" spans="2:64" x14ac:dyDescent="0.2">
      <c r="B451" s="24">
        <v>2015</v>
      </c>
      <c r="C451" s="150" t="s">
        <v>1851</v>
      </c>
      <c r="D451" s="25" t="s">
        <v>541</v>
      </c>
      <c r="F451" s="25" t="s">
        <v>72</v>
      </c>
      <c r="G451" s="25"/>
      <c r="H451" s="151"/>
      <c r="I451" s="151"/>
      <c r="M451" s="26" t="s">
        <v>61</v>
      </c>
      <c r="O451" s="29">
        <v>34</v>
      </c>
      <c r="Q451" s="49">
        <v>2560000</v>
      </c>
      <c r="R451" s="49"/>
      <c r="S451" s="49"/>
      <c r="T451" s="49"/>
      <c r="AI451" s="37"/>
      <c r="BK451" s="152"/>
      <c r="BL451" s="108"/>
    </row>
    <row r="452" spans="2:64" x14ac:dyDescent="0.2">
      <c r="B452" s="24">
        <v>2015</v>
      </c>
      <c r="C452" s="150" t="s">
        <v>1851</v>
      </c>
      <c r="D452" s="25" t="s">
        <v>1948</v>
      </c>
      <c r="F452" s="25" t="s">
        <v>66</v>
      </c>
      <c r="G452" s="25"/>
      <c r="H452" s="151"/>
      <c r="I452" s="151"/>
      <c r="M452" s="26" t="s">
        <v>1856</v>
      </c>
      <c r="O452" s="29">
        <v>40</v>
      </c>
      <c r="Q452" s="49">
        <v>5599130</v>
      </c>
      <c r="R452" s="49"/>
      <c r="S452" s="49"/>
      <c r="T452" s="49"/>
      <c r="AI452" s="37"/>
      <c r="BK452" s="152"/>
      <c r="BL452" s="108"/>
    </row>
    <row r="453" spans="2:64" x14ac:dyDescent="0.2">
      <c r="B453" s="24">
        <v>2015</v>
      </c>
      <c r="C453" s="150" t="s">
        <v>1851</v>
      </c>
      <c r="D453" s="25" t="s">
        <v>1949</v>
      </c>
      <c r="F453" s="25" t="s">
        <v>525</v>
      </c>
      <c r="G453" s="25"/>
      <c r="H453" s="151"/>
      <c r="I453" s="151"/>
      <c r="M453" s="26" t="s">
        <v>1856</v>
      </c>
      <c r="O453" s="29">
        <v>32</v>
      </c>
      <c r="Q453" s="49">
        <v>5465180</v>
      </c>
      <c r="R453" s="49"/>
      <c r="S453" s="49"/>
      <c r="T453" s="49"/>
      <c r="AI453" s="37"/>
      <c r="BK453" s="152"/>
      <c r="BL453" s="108"/>
    </row>
    <row r="454" spans="2:64" ht="15" customHeight="1" x14ac:dyDescent="0.2">
      <c r="B454" s="24">
        <v>2015</v>
      </c>
      <c r="C454" s="150" t="s">
        <v>1851</v>
      </c>
      <c r="D454" s="25" t="s">
        <v>544</v>
      </c>
      <c r="F454" s="25" t="s">
        <v>113</v>
      </c>
      <c r="G454" s="25"/>
      <c r="H454" s="151"/>
      <c r="I454" s="151"/>
      <c r="M454" s="26" t="s">
        <v>1856</v>
      </c>
      <c r="O454" s="29">
        <v>30</v>
      </c>
      <c r="Q454" s="49">
        <v>3953980</v>
      </c>
      <c r="R454" s="49"/>
      <c r="S454" s="49"/>
      <c r="T454" s="49"/>
      <c r="AI454" s="37"/>
      <c r="BK454" s="152"/>
      <c r="BL454" s="108"/>
    </row>
    <row r="455" spans="2:64" x14ac:dyDescent="0.2">
      <c r="B455" s="24">
        <v>2015</v>
      </c>
      <c r="C455" s="150" t="s">
        <v>1851</v>
      </c>
      <c r="D455" s="25" t="s">
        <v>974</v>
      </c>
      <c r="F455" s="25" t="s">
        <v>113</v>
      </c>
      <c r="G455" s="25"/>
      <c r="H455" s="151"/>
      <c r="I455" s="151"/>
      <c r="M455" s="26" t="s">
        <v>329</v>
      </c>
      <c r="O455" s="29">
        <v>20</v>
      </c>
      <c r="Q455" s="49">
        <v>3500000</v>
      </c>
      <c r="R455" s="49"/>
      <c r="S455" s="49"/>
      <c r="T455" s="49"/>
      <c r="AI455" s="37"/>
      <c r="BK455" s="152"/>
      <c r="BL455" s="108"/>
    </row>
    <row r="456" spans="2:64" x14ac:dyDescent="0.2">
      <c r="B456" s="24">
        <v>2015</v>
      </c>
      <c r="C456" s="150" t="s">
        <v>1851</v>
      </c>
      <c r="D456" s="25" t="s">
        <v>1950</v>
      </c>
      <c r="F456" s="25" t="s">
        <v>93</v>
      </c>
      <c r="G456" s="25"/>
      <c r="H456" s="151"/>
      <c r="I456" s="151"/>
      <c r="M456" s="26" t="s">
        <v>1856</v>
      </c>
      <c r="O456" s="29">
        <v>26</v>
      </c>
      <c r="Q456" s="49">
        <v>3500000</v>
      </c>
      <c r="R456" s="49"/>
      <c r="S456" s="49"/>
      <c r="T456" s="49"/>
      <c r="AI456" s="37"/>
      <c r="BK456" s="152"/>
      <c r="BL456" s="108"/>
    </row>
    <row r="457" spans="2:64" ht="15" customHeight="1" x14ac:dyDescent="0.25">
      <c r="B457" s="24">
        <v>2016</v>
      </c>
      <c r="C457" s="150" t="s">
        <v>1851</v>
      </c>
      <c r="D457" s="25" t="s">
        <v>1951</v>
      </c>
      <c r="F457" s="25" t="s">
        <v>1038</v>
      </c>
      <c r="G457" s="25"/>
      <c r="H457" s="151"/>
      <c r="I457" s="151"/>
      <c r="M457" s="157" t="s">
        <v>1856</v>
      </c>
      <c r="O457" s="29">
        <v>24</v>
      </c>
      <c r="Q457" s="49">
        <v>2680000</v>
      </c>
      <c r="R457" s="107"/>
      <c r="S457" s="107"/>
      <c r="T457" s="107"/>
      <c r="U457" s="106"/>
      <c r="V457" s="107"/>
      <c r="AI457" s="37"/>
      <c r="BK457" s="159"/>
      <c r="BL457" s="158"/>
    </row>
    <row r="458" spans="2:64" ht="13.5" x14ac:dyDescent="0.25">
      <c r="B458" s="24">
        <v>2016</v>
      </c>
      <c r="C458" s="150" t="s">
        <v>1851</v>
      </c>
      <c r="D458" s="25" t="s">
        <v>530</v>
      </c>
      <c r="F458" s="25" t="s">
        <v>1886</v>
      </c>
      <c r="G458" s="25"/>
      <c r="H458" s="151"/>
      <c r="I458" s="151"/>
      <c r="M458" s="157" t="s">
        <v>1856</v>
      </c>
      <c r="O458" s="29">
        <v>27</v>
      </c>
      <c r="Q458" s="49">
        <v>4157760</v>
      </c>
      <c r="R458" s="107"/>
      <c r="S458" s="107"/>
      <c r="T458" s="107"/>
      <c r="U458" s="106"/>
      <c r="V458" s="107"/>
      <c r="AI458" s="37"/>
      <c r="BK458" s="159"/>
      <c r="BL458" s="158"/>
    </row>
    <row r="459" spans="2:64" ht="13.5" x14ac:dyDescent="0.25">
      <c r="B459" s="24">
        <v>2016</v>
      </c>
      <c r="C459" s="150" t="s">
        <v>1851</v>
      </c>
      <c r="D459" s="25" t="s">
        <v>1952</v>
      </c>
      <c r="F459" s="25" t="s">
        <v>93</v>
      </c>
      <c r="G459" s="25"/>
      <c r="H459" s="151"/>
      <c r="I459" s="151"/>
      <c r="M459" s="157" t="s">
        <v>1856</v>
      </c>
      <c r="O459" s="29">
        <v>42</v>
      </c>
      <c r="Q459" s="49">
        <v>6587500</v>
      </c>
      <c r="R459" s="107"/>
      <c r="S459" s="107"/>
      <c r="T459" s="107"/>
      <c r="U459" s="106"/>
      <c r="V459" s="107"/>
      <c r="AI459" s="37"/>
      <c r="BK459" s="159"/>
      <c r="BL459" s="158"/>
    </row>
    <row r="460" spans="2:64" ht="13.5" x14ac:dyDescent="0.25">
      <c r="B460" s="24">
        <v>2016</v>
      </c>
      <c r="C460" s="150" t="s">
        <v>1851</v>
      </c>
      <c r="D460" s="25" t="s">
        <v>1953</v>
      </c>
      <c r="F460" s="25" t="s">
        <v>517</v>
      </c>
      <c r="G460" s="25"/>
      <c r="H460" s="151"/>
      <c r="I460" s="151"/>
      <c r="M460" s="157" t="s">
        <v>1856</v>
      </c>
      <c r="O460" s="29">
        <v>30</v>
      </c>
      <c r="Q460" s="49">
        <v>6623400</v>
      </c>
      <c r="R460" s="107"/>
      <c r="S460" s="107"/>
      <c r="T460" s="107"/>
      <c r="U460" s="106"/>
      <c r="V460" s="107"/>
      <c r="AI460" s="37"/>
      <c r="BK460" s="159"/>
      <c r="BL460" s="158"/>
    </row>
    <row r="461" spans="2:64" ht="13.5" x14ac:dyDescent="0.25">
      <c r="B461" s="24">
        <v>2016</v>
      </c>
      <c r="C461" s="150" t="s">
        <v>1851</v>
      </c>
      <c r="D461" s="25" t="s">
        <v>1954</v>
      </c>
      <c r="F461" s="25" t="s">
        <v>210</v>
      </c>
      <c r="G461" s="25"/>
      <c r="H461" s="151"/>
      <c r="I461" s="151"/>
      <c r="M461" s="157" t="s">
        <v>1856</v>
      </c>
      <c r="O461" s="29">
        <v>32</v>
      </c>
      <c r="Q461" s="49">
        <v>5185610</v>
      </c>
      <c r="R461" s="107"/>
      <c r="S461" s="107"/>
      <c r="T461" s="107"/>
      <c r="U461" s="106"/>
      <c r="V461" s="107"/>
      <c r="AI461" s="37"/>
      <c r="BK461" s="159"/>
      <c r="BL461" s="158"/>
    </row>
    <row r="462" spans="2:64" ht="13.5" x14ac:dyDescent="0.25">
      <c r="B462" s="24">
        <v>2016</v>
      </c>
      <c r="C462" s="150" t="s">
        <v>1851</v>
      </c>
      <c r="D462" s="25" t="s">
        <v>1955</v>
      </c>
      <c r="F462" s="25" t="s">
        <v>66</v>
      </c>
      <c r="G462" s="25"/>
      <c r="H462" s="151"/>
      <c r="I462" s="151"/>
      <c r="M462" s="157" t="s">
        <v>1856</v>
      </c>
      <c r="O462" s="29">
        <v>40</v>
      </c>
      <c r="Q462" s="49">
        <v>6700000</v>
      </c>
      <c r="R462" s="107"/>
      <c r="S462" s="107"/>
      <c r="T462" s="107"/>
      <c r="U462" s="106"/>
      <c r="V462" s="107"/>
      <c r="AI462" s="37"/>
      <c r="BK462" s="159"/>
      <c r="BL462" s="158"/>
    </row>
    <row r="463" spans="2:64" ht="13.5" x14ac:dyDescent="0.25">
      <c r="B463" s="24">
        <v>2016</v>
      </c>
      <c r="C463" s="150" t="s">
        <v>1851</v>
      </c>
      <c r="D463" s="25" t="s">
        <v>478</v>
      </c>
      <c r="F463" s="25" t="s">
        <v>237</v>
      </c>
      <c r="G463" s="25"/>
      <c r="H463" s="151"/>
      <c r="I463" s="151"/>
      <c r="M463" s="157" t="s">
        <v>61</v>
      </c>
      <c r="O463" s="29">
        <v>35</v>
      </c>
      <c r="Q463" s="49">
        <v>3533810</v>
      </c>
      <c r="R463" s="107"/>
      <c r="S463" s="107"/>
      <c r="T463" s="107"/>
      <c r="U463" s="106"/>
      <c r="V463" s="107"/>
      <c r="AI463" s="37"/>
      <c r="BK463" s="159"/>
      <c r="BL463" s="158"/>
    </row>
    <row r="464" spans="2:64" ht="13.5" x14ac:dyDescent="0.25">
      <c r="B464" s="24">
        <v>2016</v>
      </c>
      <c r="C464" s="150" t="s">
        <v>1851</v>
      </c>
      <c r="D464" s="25" t="s">
        <v>1946</v>
      </c>
      <c r="F464" s="25" t="s">
        <v>967</v>
      </c>
      <c r="G464" s="25"/>
      <c r="H464" s="151"/>
      <c r="I464" s="151"/>
      <c r="M464" s="157" t="s">
        <v>1856</v>
      </c>
      <c r="O464" s="29">
        <v>24</v>
      </c>
      <c r="Q464" s="49">
        <v>4450000</v>
      </c>
      <c r="R464" s="107"/>
      <c r="S464" s="107"/>
      <c r="T464" s="107"/>
      <c r="U464" s="106"/>
      <c r="V464" s="107"/>
      <c r="AI464" s="37"/>
      <c r="BK464" s="159"/>
      <c r="BL464" s="158"/>
    </row>
    <row r="465" spans="2:64" ht="13.5" x14ac:dyDescent="0.25">
      <c r="B465" s="24">
        <v>2016</v>
      </c>
      <c r="C465" s="150" t="s">
        <v>1851</v>
      </c>
      <c r="D465" s="25" t="s">
        <v>1956</v>
      </c>
      <c r="F465" s="25" t="s">
        <v>525</v>
      </c>
      <c r="G465" s="25"/>
      <c r="H465" s="151"/>
      <c r="I465" s="151"/>
      <c r="M465" s="157" t="s">
        <v>1856</v>
      </c>
      <c r="O465" s="29">
        <v>40</v>
      </c>
      <c r="Q465" s="49">
        <v>6150000</v>
      </c>
      <c r="R465" s="107"/>
      <c r="S465" s="107"/>
      <c r="T465" s="107"/>
      <c r="U465" s="106"/>
      <c r="V465" s="107"/>
      <c r="AI465" s="37"/>
      <c r="BK465" s="159"/>
      <c r="BL465" s="158"/>
    </row>
    <row r="466" spans="2:64" ht="13.5" x14ac:dyDescent="0.25">
      <c r="B466" s="24">
        <v>2016</v>
      </c>
      <c r="C466" s="150" t="s">
        <v>1851</v>
      </c>
      <c r="D466" s="25" t="s">
        <v>1957</v>
      </c>
      <c r="F466" s="25" t="s">
        <v>377</v>
      </c>
      <c r="G466" s="25"/>
      <c r="H466" s="151"/>
      <c r="I466" s="151"/>
      <c r="M466" s="157" t="s">
        <v>1856</v>
      </c>
      <c r="O466" s="29">
        <v>16</v>
      </c>
      <c r="Q466" s="49">
        <v>3315820</v>
      </c>
      <c r="R466" s="107"/>
      <c r="S466" s="107"/>
      <c r="T466" s="107"/>
      <c r="U466" s="106"/>
      <c r="V466" s="107"/>
      <c r="AI466" s="37"/>
      <c r="BK466" s="159"/>
      <c r="BL466" s="158"/>
    </row>
    <row r="467" spans="2:64" ht="13.5" x14ac:dyDescent="0.25">
      <c r="B467" s="24">
        <v>2016</v>
      </c>
      <c r="C467" s="150" t="s">
        <v>1851</v>
      </c>
      <c r="D467" s="25" t="s">
        <v>1958</v>
      </c>
      <c r="F467" s="25" t="s">
        <v>415</v>
      </c>
      <c r="G467" s="25"/>
      <c r="H467" s="151"/>
      <c r="I467" s="151"/>
      <c r="M467" s="157" t="s">
        <v>1856</v>
      </c>
      <c r="O467" s="29">
        <v>36</v>
      </c>
      <c r="Q467" s="49">
        <v>6700000</v>
      </c>
      <c r="R467" s="107"/>
      <c r="S467" s="107"/>
      <c r="T467" s="107"/>
      <c r="U467" s="106"/>
      <c r="V467" s="107"/>
      <c r="AI467" s="37"/>
      <c r="BK467" s="159"/>
      <c r="BL467" s="158"/>
    </row>
    <row r="468" spans="2:64" ht="13.5" x14ac:dyDescent="0.25">
      <c r="B468" s="24">
        <v>2016</v>
      </c>
      <c r="C468" s="150" t="s">
        <v>1851</v>
      </c>
      <c r="D468" s="25" t="s">
        <v>1959</v>
      </c>
      <c r="F468" s="25" t="s">
        <v>66</v>
      </c>
      <c r="M468" s="157" t="s">
        <v>61</v>
      </c>
      <c r="O468" s="29">
        <v>32</v>
      </c>
      <c r="Q468" s="49">
        <v>3829270</v>
      </c>
      <c r="AI468" s="37"/>
    </row>
    <row r="469" spans="2:64" ht="15.75" customHeight="1" x14ac:dyDescent="0.25">
      <c r="B469" s="24">
        <v>2016</v>
      </c>
      <c r="C469" s="150" t="s">
        <v>1851</v>
      </c>
      <c r="D469" s="25" t="s">
        <v>1960</v>
      </c>
      <c r="F469" s="25" t="s">
        <v>108</v>
      </c>
      <c r="G469" s="25"/>
      <c r="H469" s="151"/>
      <c r="I469" s="151"/>
      <c r="M469" s="157" t="s">
        <v>1856</v>
      </c>
      <c r="O469" s="29">
        <v>26</v>
      </c>
      <c r="Q469" s="49">
        <v>3306100</v>
      </c>
      <c r="R469" s="49"/>
      <c r="S469" s="49"/>
      <c r="T469" s="49"/>
      <c r="AI469" s="37"/>
      <c r="BK469" s="159"/>
      <c r="BL469" s="158"/>
    </row>
    <row r="470" spans="2:64" ht="13.5" x14ac:dyDescent="0.25">
      <c r="B470" s="24">
        <v>2016</v>
      </c>
      <c r="C470" s="150" t="s">
        <v>1851</v>
      </c>
      <c r="D470" s="25" t="s">
        <v>1961</v>
      </c>
      <c r="F470" s="25" t="s">
        <v>72</v>
      </c>
      <c r="G470" s="25"/>
      <c r="H470" s="151"/>
      <c r="I470" s="151"/>
      <c r="M470" s="157" t="s">
        <v>1856</v>
      </c>
      <c r="O470" s="29">
        <v>15</v>
      </c>
      <c r="Q470" s="49">
        <v>2600000</v>
      </c>
      <c r="R470" s="107"/>
      <c r="S470" s="107"/>
      <c r="T470" s="107"/>
      <c r="U470" s="106"/>
      <c r="V470" s="107"/>
      <c r="AI470" s="37"/>
      <c r="BK470" s="161"/>
      <c r="BL470" s="160"/>
    </row>
    <row r="471" spans="2:64" ht="13.5" x14ac:dyDescent="0.25">
      <c r="B471" s="24">
        <v>2016</v>
      </c>
      <c r="C471" s="150" t="s">
        <v>1851</v>
      </c>
      <c r="D471" s="25" t="s">
        <v>1962</v>
      </c>
      <c r="F471" s="25" t="s">
        <v>1642</v>
      </c>
      <c r="M471" s="157" t="s">
        <v>1856</v>
      </c>
      <c r="O471" s="29">
        <v>16</v>
      </c>
      <c r="Q471" s="49">
        <v>2589480</v>
      </c>
      <c r="R471" s="26"/>
      <c r="S471" s="26"/>
      <c r="T471" s="26"/>
      <c r="U471" s="162"/>
      <c r="V471" s="163"/>
      <c r="AI471" s="37"/>
    </row>
    <row r="472" spans="2:64" ht="15.75" customHeight="1" x14ac:dyDescent="0.25">
      <c r="B472" s="24">
        <v>2016</v>
      </c>
      <c r="C472" s="150" t="s">
        <v>1851</v>
      </c>
      <c r="D472" s="25" t="s">
        <v>1963</v>
      </c>
      <c r="F472" s="25" t="s">
        <v>108</v>
      </c>
      <c r="M472" s="157" t="s">
        <v>1856</v>
      </c>
      <c r="O472" s="29">
        <v>61</v>
      </c>
      <c r="Q472" s="49">
        <v>6700000</v>
      </c>
      <c r="AI472" s="37"/>
    </row>
    <row r="473" spans="2:64" ht="15.75" customHeight="1" x14ac:dyDescent="0.25">
      <c r="B473" s="24">
        <v>2016</v>
      </c>
      <c r="C473" s="150" t="s">
        <v>1851</v>
      </c>
      <c r="D473" s="25" t="s">
        <v>575</v>
      </c>
      <c r="F473" s="25" t="s">
        <v>108</v>
      </c>
      <c r="M473" s="157" t="s">
        <v>1856</v>
      </c>
      <c r="O473" s="29">
        <v>70</v>
      </c>
      <c r="Q473" s="49">
        <v>954210</v>
      </c>
      <c r="AI473" s="37"/>
    </row>
    <row r="474" spans="2:64" ht="15.75" customHeight="1" x14ac:dyDescent="0.25">
      <c r="B474" s="24">
        <v>2016</v>
      </c>
      <c r="C474" s="150" t="s">
        <v>1851</v>
      </c>
      <c r="D474" s="25" t="s">
        <v>974</v>
      </c>
      <c r="F474" s="25" t="s">
        <v>1886</v>
      </c>
      <c r="M474" s="157" t="s">
        <v>329</v>
      </c>
      <c r="O474" s="29">
        <v>20</v>
      </c>
      <c r="Q474" s="49">
        <v>3500000</v>
      </c>
      <c r="AI474" s="37"/>
    </row>
    <row r="475" spans="2:64" ht="15.75" customHeight="1" x14ac:dyDescent="0.25">
      <c r="B475" s="24">
        <v>2017</v>
      </c>
      <c r="C475" s="150" t="s">
        <v>1851</v>
      </c>
      <c r="D475" s="25" t="s">
        <v>1964</v>
      </c>
      <c r="F475" s="25" t="s">
        <v>316</v>
      </c>
      <c r="J475" s="25" t="s">
        <v>317</v>
      </c>
      <c r="L475" s="24" t="s">
        <v>74</v>
      </c>
      <c r="M475" s="157"/>
      <c r="N475" s="24" t="s">
        <v>62</v>
      </c>
      <c r="O475" s="29">
        <v>32</v>
      </c>
      <c r="Q475" s="49">
        <v>5840000</v>
      </c>
      <c r="AI475" s="37"/>
    </row>
    <row r="476" spans="2:64" ht="15.75" customHeight="1" x14ac:dyDescent="0.25">
      <c r="B476" s="24">
        <v>2017</v>
      </c>
      <c r="C476" s="150" t="s">
        <v>1851</v>
      </c>
      <c r="D476" s="25" t="s">
        <v>1965</v>
      </c>
      <c r="F476" s="25" t="s">
        <v>210</v>
      </c>
      <c r="J476" s="25" t="s">
        <v>211</v>
      </c>
      <c r="L476" s="24" t="s">
        <v>74</v>
      </c>
      <c r="M476" s="157"/>
      <c r="N476" s="24" t="s">
        <v>62</v>
      </c>
      <c r="O476" s="29">
        <v>32</v>
      </c>
      <c r="Q476" s="49">
        <v>4667180</v>
      </c>
      <c r="AI476" s="37"/>
    </row>
    <row r="477" spans="2:64" ht="15.75" customHeight="1" x14ac:dyDescent="0.25">
      <c r="B477" s="24">
        <v>2017</v>
      </c>
      <c r="C477" s="150" t="s">
        <v>1851</v>
      </c>
      <c r="D477" s="25" t="s">
        <v>1966</v>
      </c>
      <c r="F477" s="25" t="s">
        <v>1967</v>
      </c>
      <c r="J477" s="25" t="s">
        <v>1968</v>
      </c>
      <c r="L477" s="24" t="s">
        <v>74</v>
      </c>
      <c r="M477" s="157"/>
      <c r="N477" s="24" t="s">
        <v>75</v>
      </c>
      <c r="O477" s="29">
        <v>35</v>
      </c>
      <c r="Q477" s="49">
        <v>3506510</v>
      </c>
      <c r="AI477" s="37"/>
    </row>
    <row r="478" spans="2:64" ht="15.75" customHeight="1" x14ac:dyDescent="0.25">
      <c r="B478" s="24">
        <v>2017</v>
      </c>
      <c r="C478" s="150" t="s">
        <v>1851</v>
      </c>
      <c r="D478" s="25" t="s">
        <v>1951</v>
      </c>
      <c r="F478" s="25" t="s">
        <v>1038</v>
      </c>
      <c r="J478" s="25" t="s">
        <v>441</v>
      </c>
      <c r="L478" s="24" t="s">
        <v>74</v>
      </c>
      <c r="M478" s="157"/>
      <c r="N478" s="24" t="s">
        <v>62</v>
      </c>
      <c r="O478" s="29">
        <v>20</v>
      </c>
      <c r="Q478" s="49">
        <v>2600000</v>
      </c>
      <c r="AI478" s="37"/>
    </row>
    <row r="479" spans="2:64" ht="15.75" customHeight="1" x14ac:dyDescent="0.25">
      <c r="B479" s="24">
        <v>2017</v>
      </c>
      <c r="C479" s="150" t="s">
        <v>1851</v>
      </c>
      <c r="D479" s="25" t="s">
        <v>1700</v>
      </c>
      <c r="F479" s="25" t="s">
        <v>704</v>
      </c>
      <c r="J479" s="25" t="s">
        <v>518</v>
      </c>
      <c r="L479" s="24" t="s">
        <v>60</v>
      </c>
      <c r="M479" s="157"/>
      <c r="N479" s="24" t="s">
        <v>75</v>
      </c>
      <c r="O479" s="29">
        <v>19</v>
      </c>
      <c r="Q479" s="49">
        <v>2680000</v>
      </c>
      <c r="AI479" s="37"/>
    </row>
    <row r="480" spans="2:64" ht="15.75" customHeight="1" x14ac:dyDescent="0.25">
      <c r="B480" s="24">
        <v>2017</v>
      </c>
      <c r="C480" s="150" t="s">
        <v>1851</v>
      </c>
      <c r="D480" s="25" t="s">
        <v>1969</v>
      </c>
      <c r="F480" s="25" t="s">
        <v>377</v>
      </c>
      <c r="J480" s="25" t="s">
        <v>73</v>
      </c>
      <c r="L480" s="24" t="s">
        <v>74</v>
      </c>
      <c r="M480" s="157"/>
      <c r="N480" s="24" t="s">
        <v>75</v>
      </c>
      <c r="O480" s="29">
        <v>16</v>
      </c>
      <c r="Q480" s="49">
        <v>3510000</v>
      </c>
      <c r="AI480" s="37"/>
    </row>
    <row r="481" spans="2:35" ht="15.75" customHeight="1" x14ac:dyDescent="0.25">
      <c r="B481" s="24">
        <v>2017</v>
      </c>
      <c r="C481" s="150" t="s">
        <v>1851</v>
      </c>
      <c r="D481" s="25" t="s">
        <v>1970</v>
      </c>
      <c r="F481" s="25" t="s">
        <v>108</v>
      </c>
      <c r="J481" s="25" t="s">
        <v>108</v>
      </c>
      <c r="L481" s="24" t="s">
        <v>60</v>
      </c>
      <c r="M481" s="157"/>
      <c r="N481" s="24" t="s">
        <v>75</v>
      </c>
      <c r="O481" s="29">
        <v>54</v>
      </c>
      <c r="Q481" s="49">
        <v>6500000</v>
      </c>
      <c r="AI481" s="37"/>
    </row>
    <row r="482" spans="2:35" ht="15.75" customHeight="1" x14ac:dyDescent="0.25">
      <c r="B482" s="24">
        <v>2017</v>
      </c>
      <c r="C482" s="150" t="s">
        <v>1851</v>
      </c>
      <c r="D482" s="25" t="s">
        <v>1971</v>
      </c>
      <c r="F482" s="25" t="s">
        <v>103</v>
      </c>
      <c r="J482" s="44" t="s">
        <v>104</v>
      </c>
      <c r="L482" s="24" t="s">
        <v>74</v>
      </c>
      <c r="M482" s="157"/>
      <c r="N482" s="24" t="s">
        <v>75</v>
      </c>
      <c r="O482" s="29">
        <v>24</v>
      </c>
      <c r="Q482" s="49">
        <v>4747500</v>
      </c>
      <c r="AI482" s="37"/>
    </row>
    <row r="483" spans="2:35" ht="15.75" customHeight="1" x14ac:dyDescent="0.25">
      <c r="B483" s="24">
        <v>2017</v>
      </c>
      <c r="C483" s="150" t="s">
        <v>1851</v>
      </c>
      <c r="D483" s="25" t="s">
        <v>1972</v>
      </c>
      <c r="F483" s="25" t="s">
        <v>93</v>
      </c>
      <c r="J483" s="25" t="s">
        <v>94</v>
      </c>
      <c r="L483" s="24" t="s">
        <v>60</v>
      </c>
      <c r="M483" s="157"/>
      <c r="N483" s="24" t="s">
        <v>75</v>
      </c>
      <c r="O483" s="29">
        <v>42</v>
      </c>
      <c r="Q483" s="49">
        <v>6587500</v>
      </c>
      <c r="AI483" s="37"/>
    </row>
    <row r="484" spans="2:35" ht="15.75" customHeight="1" x14ac:dyDescent="0.25">
      <c r="B484" s="24">
        <v>2017</v>
      </c>
      <c r="C484" s="150" t="s">
        <v>1851</v>
      </c>
      <c r="D484" s="25" t="s">
        <v>1973</v>
      </c>
      <c r="F484" s="25" t="s">
        <v>108</v>
      </c>
      <c r="J484" s="25" t="s">
        <v>108</v>
      </c>
      <c r="L484" s="24" t="s">
        <v>74</v>
      </c>
      <c r="M484" s="157"/>
      <c r="N484" s="24" t="s">
        <v>62</v>
      </c>
      <c r="O484" s="29">
        <v>20</v>
      </c>
      <c r="Q484" s="49">
        <v>4095000</v>
      </c>
      <c r="AI484" s="37"/>
    </row>
    <row r="485" spans="2:35" ht="15.75" customHeight="1" x14ac:dyDescent="0.25">
      <c r="B485" s="24">
        <v>2017</v>
      </c>
      <c r="C485" s="150" t="s">
        <v>1851</v>
      </c>
      <c r="D485" s="25" t="s">
        <v>1974</v>
      </c>
      <c r="F485" s="25" t="s">
        <v>108</v>
      </c>
      <c r="J485" s="25" t="s">
        <v>108</v>
      </c>
      <c r="L485" s="24" t="s">
        <v>74</v>
      </c>
      <c r="M485" s="157"/>
      <c r="N485" s="24" t="s">
        <v>75</v>
      </c>
      <c r="O485" s="29">
        <v>30</v>
      </c>
      <c r="Q485" s="49">
        <v>4400000</v>
      </c>
      <c r="AI485" s="37"/>
    </row>
    <row r="486" spans="2:35" ht="15.75" customHeight="1" x14ac:dyDescent="0.25">
      <c r="B486" s="24">
        <v>2017</v>
      </c>
      <c r="C486" s="150" t="s">
        <v>1851</v>
      </c>
      <c r="D486" s="25" t="s">
        <v>1975</v>
      </c>
      <c r="F486" s="25" t="s">
        <v>1976</v>
      </c>
      <c r="J486" s="25" t="s">
        <v>59</v>
      </c>
      <c r="L486" s="24" t="s">
        <v>60</v>
      </c>
      <c r="M486" s="157"/>
      <c r="N486" s="24" t="s">
        <v>62</v>
      </c>
      <c r="O486" s="29">
        <v>24</v>
      </c>
      <c r="Q486" s="49">
        <v>4220000</v>
      </c>
      <c r="AI486" s="37"/>
    </row>
    <row r="487" spans="2:35" ht="15.75" customHeight="1" x14ac:dyDescent="0.25">
      <c r="B487" s="24">
        <v>2017</v>
      </c>
      <c r="C487" s="150" t="s">
        <v>1851</v>
      </c>
      <c r="D487" s="25" t="s">
        <v>1977</v>
      </c>
      <c r="F487" s="25" t="s">
        <v>1098</v>
      </c>
      <c r="J487" s="25" t="s">
        <v>59</v>
      </c>
      <c r="L487" s="24" t="s">
        <v>60</v>
      </c>
      <c r="M487" s="157"/>
      <c r="N487" s="24" t="s">
        <v>62</v>
      </c>
      <c r="O487" s="29">
        <v>24</v>
      </c>
      <c r="Q487" s="49">
        <v>4275000</v>
      </c>
      <c r="AI487" s="37"/>
    </row>
    <row r="488" spans="2:35" ht="15.75" customHeight="1" x14ac:dyDescent="0.25">
      <c r="B488" s="24">
        <v>2017</v>
      </c>
      <c r="C488" s="150" t="s">
        <v>1851</v>
      </c>
      <c r="D488" s="25" t="s">
        <v>486</v>
      </c>
      <c r="F488" s="25" t="s">
        <v>66</v>
      </c>
      <c r="J488" s="25" t="s">
        <v>59</v>
      </c>
      <c r="L488" s="24" t="s">
        <v>74</v>
      </c>
      <c r="M488" s="157"/>
      <c r="N488" s="24" t="s">
        <v>62</v>
      </c>
      <c r="O488" s="29">
        <v>32</v>
      </c>
      <c r="Q488" s="49">
        <v>4175500</v>
      </c>
      <c r="AI488" s="37"/>
    </row>
    <row r="489" spans="2:35" ht="15.75" customHeight="1" x14ac:dyDescent="0.25">
      <c r="B489" s="24">
        <v>2018</v>
      </c>
      <c r="C489" s="150" t="s">
        <v>1851</v>
      </c>
      <c r="D489" s="25" t="s">
        <v>1978</v>
      </c>
      <c r="F489" s="25" t="s">
        <v>759</v>
      </c>
      <c r="J489" s="25" t="s">
        <v>464</v>
      </c>
      <c r="L489" s="24" t="s">
        <v>188</v>
      </c>
      <c r="M489" s="157" t="s">
        <v>95</v>
      </c>
      <c r="N489" s="24" t="s">
        <v>75</v>
      </c>
      <c r="O489" s="29">
        <v>1</v>
      </c>
      <c r="Q489" s="49">
        <v>6353650</v>
      </c>
      <c r="AC489" s="25" t="s">
        <v>1979</v>
      </c>
      <c r="AI489" s="37"/>
    </row>
    <row r="490" spans="2:35" ht="15.75" customHeight="1" x14ac:dyDescent="0.25">
      <c r="B490" s="24">
        <v>2018</v>
      </c>
      <c r="C490" s="150" t="s">
        <v>1851</v>
      </c>
      <c r="D490" s="25" t="s">
        <v>325</v>
      </c>
      <c r="F490" s="25" t="s">
        <v>66</v>
      </c>
      <c r="J490" s="25" t="s">
        <v>59</v>
      </c>
      <c r="L490" s="24" t="s">
        <v>60</v>
      </c>
      <c r="M490" s="157" t="s">
        <v>95</v>
      </c>
      <c r="N490" s="24" t="s">
        <v>75</v>
      </c>
      <c r="O490" s="29">
        <v>3</v>
      </c>
      <c r="Q490" s="49">
        <v>6150000</v>
      </c>
      <c r="AC490" s="25" t="s">
        <v>195</v>
      </c>
      <c r="AI490" s="37"/>
    </row>
    <row r="491" spans="2:35" ht="15.75" customHeight="1" x14ac:dyDescent="0.25">
      <c r="B491" s="24">
        <v>2018</v>
      </c>
      <c r="C491" s="150" t="s">
        <v>1851</v>
      </c>
      <c r="D491" s="25" t="s">
        <v>1700</v>
      </c>
      <c r="F491" s="25" t="s">
        <v>704</v>
      </c>
      <c r="J491" s="25" t="s">
        <v>518</v>
      </c>
      <c r="L491" s="24" t="s">
        <v>60</v>
      </c>
      <c r="M491" s="157" t="s">
        <v>61</v>
      </c>
      <c r="N491" s="24" t="s">
        <v>75</v>
      </c>
      <c r="O491" s="29">
        <v>19</v>
      </c>
      <c r="Q491" s="49">
        <v>2710000</v>
      </c>
      <c r="AC491" s="25" t="s">
        <v>1980</v>
      </c>
      <c r="AI491" s="37"/>
    </row>
    <row r="492" spans="2:35" ht="15.75" customHeight="1" x14ac:dyDescent="0.25">
      <c r="B492" s="24">
        <v>2018</v>
      </c>
      <c r="C492" s="150" t="s">
        <v>1851</v>
      </c>
      <c r="D492" s="25" t="s">
        <v>1957</v>
      </c>
      <c r="F492" s="25" t="s">
        <v>377</v>
      </c>
      <c r="J492" s="25" t="s">
        <v>73</v>
      </c>
      <c r="L492" s="24" t="s">
        <v>74</v>
      </c>
      <c r="M492" s="157" t="s">
        <v>95</v>
      </c>
      <c r="N492" s="24" t="s">
        <v>75</v>
      </c>
      <c r="O492" s="29">
        <v>16</v>
      </c>
      <c r="Q492" s="49">
        <v>3387500</v>
      </c>
      <c r="AC492" s="25" t="s">
        <v>1981</v>
      </c>
      <c r="AI492" s="37"/>
    </row>
    <row r="493" spans="2:35" ht="15.75" customHeight="1" x14ac:dyDescent="0.25">
      <c r="B493" s="24">
        <v>2018</v>
      </c>
      <c r="C493" s="150" t="s">
        <v>1851</v>
      </c>
      <c r="D493" s="25" t="s">
        <v>1982</v>
      </c>
      <c r="F493" s="25" t="s">
        <v>93</v>
      </c>
      <c r="J493" s="25" t="s">
        <v>94</v>
      </c>
      <c r="L493" s="24" t="s">
        <v>60</v>
      </c>
      <c r="M493" s="157" t="s">
        <v>95</v>
      </c>
      <c r="N493" s="24" t="s">
        <v>75</v>
      </c>
      <c r="O493" s="29">
        <v>32</v>
      </c>
      <c r="Q493" s="49">
        <v>6775000</v>
      </c>
      <c r="AC493" s="25" t="s">
        <v>1983</v>
      </c>
      <c r="AI493" s="37"/>
    </row>
    <row r="494" spans="2:35" ht="15.75" customHeight="1" x14ac:dyDescent="0.25">
      <c r="B494" s="24">
        <v>2018</v>
      </c>
      <c r="C494" s="150" t="s">
        <v>1851</v>
      </c>
      <c r="D494" s="25" t="s">
        <v>1975</v>
      </c>
      <c r="F494" s="25" t="s">
        <v>1976</v>
      </c>
      <c r="J494" s="25" t="s">
        <v>59</v>
      </c>
      <c r="L494" s="24" t="s">
        <v>60</v>
      </c>
      <c r="M494" s="157" t="s">
        <v>95</v>
      </c>
      <c r="N494" s="24" t="s">
        <v>62</v>
      </c>
      <c r="O494" s="29">
        <v>24</v>
      </c>
      <c r="Q494" s="49">
        <v>5300000</v>
      </c>
      <c r="AC494" s="25" t="s">
        <v>195</v>
      </c>
      <c r="AI494" s="37"/>
    </row>
    <row r="495" spans="2:35" ht="15.75" customHeight="1" x14ac:dyDescent="0.25">
      <c r="B495" s="24">
        <v>2018</v>
      </c>
      <c r="C495" s="150" t="s">
        <v>1851</v>
      </c>
      <c r="D495" s="25" t="s">
        <v>382</v>
      </c>
      <c r="F495" s="25" t="s">
        <v>384</v>
      </c>
      <c r="J495" s="25" t="s">
        <v>385</v>
      </c>
      <c r="L495" s="24" t="s">
        <v>74</v>
      </c>
      <c r="M495" s="157" t="s">
        <v>61</v>
      </c>
      <c r="N495" s="24" t="s">
        <v>75</v>
      </c>
      <c r="O495" s="29">
        <v>32</v>
      </c>
      <c r="Q495" s="49">
        <v>4053451</v>
      </c>
      <c r="AC495" s="25" t="s">
        <v>1984</v>
      </c>
      <c r="AI495" s="37"/>
    </row>
    <row r="496" spans="2:35" ht="15.75" customHeight="1" x14ac:dyDescent="0.25">
      <c r="B496" s="24">
        <v>2018</v>
      </c>
      <c r="C496" s="150" t="s">
        <v>1851</v>
      </c>
      <c r="D496" s="25" t="s">
        <v>1985</v>
      </c>
      <c r="F496" s="25" t="s">
        <v>1642</v>
      </c>
      <c r="J496" s="25" t="s">
        <v>1643</v>
      </c>
      <c r="L496" s="24" t="s">
        <v>239</v>
      </c>
      <c r="M496" s="157" t="s">
        <v>61</v>
      </c>
      <c r="N496" s="24" t="s">
        <v>75</v>
      </c>
      <c r="O496" s="29">
        <v>100</v>
      </c>
      <c r="Q496" s="49">
        <v>6775000</v>
      </c>
      <c r="AC496" s="25" t="s">
        <v>448</v>
      </c>
      <c r="AI496" s="37"/>
    </row>
    <row r="497" spans="2:36" ht="15.75" customHeight="1" x14ac:dyDescent="0.25">
      <c r="B497" s="24">
        <v>2018</v>
      </c>
      <c r="C497" s="150" t="s">
        <v>1851</v>
      </c>
      <c r="D497" s="25" t="s">
        <v>1986</v>
      </c>
      <c r="F497" s="25" t="s">
        <v>1098</v>
      </c>
      <c r="J497" s="25" t="s">
        <v>59</v>
      </c>
      <c r="L497" s="24" t="s">
        <v>60</v>
      </c>
      <c r="M497" s="157" t="s">
        <v>95</v>
      </c>
      <c r="N497" s="24" t="s">
        <v>62</v>
      </c>
      <c r="O497" s="29">
        <v>24</v>
      </c>
      <c r="Q497" s="49">
        <v>5425000</v>
      </c>
      <c r="AC497" s="25" t="s">
        <v>1987</v>
      </c>
      <c r="AI497" s="37"/>
    </row>
    <row r="498" spans="2:36" ht="15.75" customHeight="1" x14ac:dyDescent="0.25">
      <c r="B498" s="24">
        <v>2018</v>
      </c>
      <c r="C498" s="150" t="s">
        <v>1851</v>
      </c>
      <c r="D498" s="25" t="s">
        <v>1988</v>
      </c>
      <c r="F498" s="25" t="s">
        <v>415</v>
      </c>
      <c r="J498" s="25" t="s">
        <v>59</v>
      </c>
      <c r="L498" s="24" t="s">
        <v>60</v>
      </c>
      <c r="M498" s="157" t="s">
        <v>95</v>
      </c>
      <c r="N498" s="24" t="s">
        <v>62</v>
      </c>
      <c r="O498" s="29">
        <v>27</v>
      </c>
      <c r="Q498" s="49">
        <v>6084440</v>
      </c>
      <c r="AC498" s="25" t="s">
        <v>1989</v>
      </c>
      <c r="AI498" s="37"/>
    </row>
    <row r="499" spans="2:36" ht="15.75" customHeight="1" x14ac:dyDescent="0.25">
      <c r="B499" s="24">
        <v>2018</v>
      </c>
      <c r="C499" s="150" t="s">
        <v>1851</v>
      </c>
      <c r="D499" s="25" t="s">
        <v>1971</v>
      </c>
      <c r="F499" s="25" t="s">
        <v>103</v>
      </c>
      <c r="J499" s="44" t="s">
        <v>104</v>
      </c>
      <c r="L499" s="24" t="s">
        <v>74</v>
      </c>
      <c r="M499" s="157" t="s">
        <v>95</v>
      </c>
      <c r="N499" s="24" t="s">
        <v>75</v>
      </c>
      <c r="O499" s="29">
        <v>35</v>
      </c>
      <c r="Q499" s="49">
        <v>6667000</v>
      </c>
      <c r="AC499" s="25" t="s">
        <v>1990</v>
      </c>
      <c r="AI499" s="37"/>
    </row>
    <row r="500" spans="2:36" ht="15.75" customHeight="1" x14ac:dyDescent="0.25">
      <c r="B500" s="24">
        <v>2018</v>
      </c>
      <c r="C500" s="150" t="s">
        <v>1851</v>
      </c>
      <c r="D500" s="25" t="s">
        <v>1991</v>
      </c>
      <c r="F500" s="25" t="s">
        <v>1992</v>
      </c>
      <c r="J500" s="25" t="s">
        <v>1993</v>
      </c>
      <c r="L500" s="24" t="s">
        <v>60</v>
      </c>
      <c r="M500" s="157" t="s">
        <v>95</v>
      </c>
      <c r="N500" s="24" t="s">
        <v>62</v>
      </c>
      <c r="O500" s="29">
        <v>20</v>
      </c>
      <c r="Q500" s="49">
        <v>3700000</v>
      </c>
      <c r="AC500" s="25" t="s">
        <v>1980</v>
      </c>
      <c r="AI500" s="37"/>
    </row>
    <row r="501" spans="2:36" ht="15.75" customHeight="1" x14ac:dyDescent="0.25">
      <c r="B501" s="24">
        <v>2019</v>
      </c>
      <c r="C501" s="150" t="s">
        <v>1851</v>
      </c>
      <c r="D501" s="25" t="s">
        <v>1994</v>
      </c>
      <c r="F501" s="25" t="s">
        <v>108</v>
      </c>
      <c r="J501" s="25" t="s">
        <v>108</v>
      </c>
      <c r="L501" s="24" t="s">
        <v>60</v>
      </c>
      <c r="M501" s="157" t="s">
        <v>1995</v>
      </c>
      <c r="N501" s="24" t="s">
        <v>75</v>
      </c>
      <c r="O501" s="29">
        <v>41</v>
      </c>
      <c r="Q501" s="49">
        <v>7644550</v>
      </c>
      <c r="AC501" s="25" t="s">
        <v>1996</v>
      </c>
      <c r="AD501" s="25" t="s">
        <v>122</v>
      </c>
      <c r="AE501" s="25" t="s">
        <v>123</v>
      </c>
      <c r="AF501" s="25" t="s">
        <v>108</v>
      </c>
      <c r="AG501" s="25" t="s">
        <v>67</v>
      </c>
      <c r="AH501" s="25">
        <v>59806</v>
      </c>
      <c r="AI501" s="37" t="s">
        <v>124</v>
      </c>
      <c r="AJ501" s="164">
        <v>4062031558</v>
      </c>
    </row>
    <row r="502" spans="2:36" ht="15.75" customHeight="1" x14ac:dyDescent="0.25">
      <c r="B502" s="24">
        <v>2019</v>
      </c>
      <c r="C502" s="150" t="s">
        <v>1851</v>
      </c>
      <c r="D502" s="25" t="s">
        <v>382</v>
      </c>
      <c r="F502" s="25" t="s">
        <v>384</v>
      </c>
      <c r="J502" s="25" t="s">
        <v>385</v>
      </c>
      <c r="L502" s="24" t="s">
        <v>74</v>
      </c>
      <c r="M502" s="157" t="s">
        <v>61</v>
      </c>
      <c r="N502" s="24" t="s">
        <v>75</v>
      </c>
      <c r="O502" s="29">
        <v>32</v>
      </c>
      <c r="Q502" s="49">
        <v>3846270</v>
      </c>
      <c r="AC502" s="25" t="s">
        <v>386</v>
      </c>
      <c r="AD502" s="25" t="s">
        <v>598</v>
      </c>
      <c r="AE502" s="25" t="s">
        <v>388</v>
      </c>
      <c r="AF502" s="25" t="s">
        <v>215</v>
      </c>
      <c r="AG502" s="25" t="s">
        <v>216</v>
      </c>
      <c r="AH502" s="25">
        <v>83702</v>
      </c>
      <c r="AI502" s="37" t="s">
        <v>1997</v>
      </c>
      <c r="AJ502" s="164">
        <v>2083364610</v>
      </c>
    </row>
    <row r="503" spans="2:36" ht="15.75" customHeight="1" x14ac:dyDescent="0.25">
      <c r="B503" s="24">
        <v>2019</v>
      </c>
      <c r="C503" s="150" t="s">
        <v>1851</v>
      </c>
      <c r="D503" s="25" t="s">
        <v>1998</v>
      </c>
      <c r="F503" s="25" t="s">
        <v>517</v>
      </c>
      <c r="J503" s="25" t="s">
        <v>518</v>
      </c>
      <c r="L503" s="24" t="s">
        <v>188</v>
      </c>
      <c r="M503" s="157" t="s">
        <v>1995</v>
      </c>
      <c r="N503" s="24" t="s">
        <v>62</v>
      </c>
      <c r="O503" s="29">
        <v>30</v>
      </c>
      <c r="Q503" s="49">
        <v>6775000</v>
      </c>
      <c r="AC503" s="25" t="s">
        <v>1010</v>
      </c>
      <c r="AD503" s="25" t="s">
        <v>677</v>
      </c>
      <c r="AE503" s="25" t="s">
        <v>1999</v>
      </c>
      <c r="AF503" s="25" t="s">
        <v>517</v>
      </c>
      <c r="AG503" s="25" t="s">
        <v>67</v>
      </c>
      <c r="AH503" s="25">
        <v>59417</v>
      </c>
      <c r="AI503" s="37" t="s">
        <v>2000</v>
      </c>
      <c r="AJ503" s="164">
        <v>4063385031</v>
      </c>
    </row>
    <row r="504" spans="2:36" ht="15.75" customHeight="1" x14ac:dyDescent="0.25">
      <c r="B504" s="24">
        <v>2019</v>
      </c>
      <c r="C504" s="150" t="s">
        <v>1851</v>
      </c>
      <c r="D504" s="25" t="s">
        <v>1700</v>
      </c>
      <c r="F504" s="25" t="s">
        <v>2001</v>
      </c>
      <c r="J504" s="25" t="s">
        <v>518</v>
      </c>
      <c r="L504" s="24" t="s">
        <v>60</v>
      </c>
      <c r="M504" s="157" t="s">
        <v>61</v>
      </c>
      <c r="N504" s="24" t="s">
        <v>75</v>
      </c>
      <c r="O504" s="29">
        <v>19</v>
      </c>
      <c r="Q504" s="49">
        <v>3207454</v>
      </c>
      <c r="AC504" s="25" t="s">
        <v>1980</v>
      </c>
      <c r="AD504" s="25" t="s">
        <v>149</v>
      </c>
      <c r="AE504" s="25" t="s">
        <v>2002</v>
      </c>
      <c r="AF504" s="25" t="s">
        <v>103</v>
      </c>
      <c r="AG504" s="25" t="s">
        <v>67</v>
      </c>
      <c r="AH504" s="25">
        <v>59602</v>
      </c>
      <c r="AI504" s="37" t="s">
        <v>2003</v>
      </c>
      <c r="AJ504" s="164">
        <v>4064312151</v>
      </c>
    </row>
    <row r="505" spans="2:36" ht="15.75" customHeight="1" x14ac:dyDescent="0.25">
      <c r="B505" s="24">
        <v>2019</v>
      </c>
      <c r="C505" s="150" t="s">
        <v>1851</v>
      </c>
      <c r="D505" s="25" t="s">
        <v>1985</v>
      </c>
      <c r="F505" s="25" t="s">
        <v>1642</v>
      </c>
      <c r="J505" s="25" t="s">
        <v>1643</v>
      </c>
      <c r="L505" s="24" t="s">
        <v>74</v>
      </c>
      <c r="M505" s="157" t="s">
        <v>61</v>
      </c>
      <c r="N505" s="24" t="s">
        <v>75</v>
      </c>
      <c r="O505" s="29">
        <v>100</v>
      </c>
      <c r="Q505" s="49">
        <v>3299063</v>
      </c>
      <c r="AC505" s="25" t="s">
        <v>2004</v>
      </c>
      <c r="AD505" s="25" t="s">
        <v>449</v>
      </c>
      <c r="AE505" s="25" t="s">
        <v>450</v>
      </c>
      <c r="AF505" s="25" t="s">
        <v>451</v>
      </c>
      <c r="AG505" s="25" t="s">
        <v>452</v>
      </c>
      <c r="AH505" s="25">
        <v>48072</v>
      </c>
      <c r="AI505" s="37" t="s">
        <v>453</v>
      </c>
      <c r="AJ505" s="164">
        <v>2485252516</v>
      </c>
    </row>
    <row r="506" spans="2:36" ht="15.75" customHeight="1" x14ac:dyDescent="0.25">
      <c r="B506" s="24">
        <v>2019</v>
      </c>
      <c r="C506" s="150" t="s">
        <v>1851</v>
      </c>
      <c r="D506" s="25" t="s">
        <v>2005</v>
      </c>
      <c r="F506" s="25" t="s">
        <v>145</v>
      </c>
      <c r="J506" s="25" t="s">
        <v>146</v>
      </c>
      <c r="L506" s="24" t="s">
        <v>74</v>
      </c>
      <c r="M506" s="157" t="s">
        <v>61</v>
      </c>
      <c r="N506" s="24" t="s">
        <v>62</v>
      </c>
      <c r="O506" s="29">
        <v>91</v>
      </c>
      <c r="Q506" s="49">
        <v>3299063</v>
      </c>
      <c r="AC506" s="25" t="s">
        <v>448</v>
      </c>
      <c r="AD506" s="25" t="s">
        <v>449</v>
      </c>
      <c r="AE506" s="25" t="s">
        <v>450</v>
      </c>
      <c r="AF506" s="25" t="s">
        <v>451</v>
      </c>
      <c r="AG506" s="25" t="s">
        <v>452</v>
      </c>
      <c r="AH506" s="25">
        <v>48072</v>
      </c>
      <c r="AI506" s="37" t="s">
        <v>453</v>
      </c>
      <c r="AJ506" s="164">
        <v>2485252516</v>
      </c>
    </row>
    <row r="507" spans="2:36" ht="15.75" customHeight="1" x14ac:dyDescent="0.25">
      <c r="B507" s="24">
        <v>2019</v>
      </c>
      <c r="C507" s="150" t="s">
        <v>1851</v>
      </c>
      <c r="D507" s="25" t="s">
        <v>1957</v>
      </c>
      <c r="F507" s="25" t="s">
        <v>377</v>
      </c>
      <c r="J507" s="25" t="s">
        <v>73</v>
      </c>
      <c r="L507" s="24" t="s">
        <v>74</v>
      </c>
      <c r="M507" s="157" t="s">
        <v>1995</v>
      </c>
      <c r="N507" s="24" t="s">
        <v>75</v>
      </c>
      <c r="O507" s="29">
        <v>16</v>
      </c>
      <c r="Q507" s="49">
        <v>3450000</v>
      </c>
      <c r="AC507" s="25" t="s">
        <v>2006</v>
      </c>
      <c r="AD507" s="25" t="s">
        <v>379</v>
      </c>
      <c r="AE507" s="25" t="s">
        <v>380</v>
      </c>
      <c r="AF507" s="25" t="s">
        <v>108</v>
      </c>
      <c r="AG507" s="25" t="s">
        <v>67</v>
      </c>
      <c r="AH507" s="25">
        <v>59801</v>
      </c>
      <c r="AI507" s="37" t="s">
        <v>381</v>
      </c>
      <c r="AJ507" s="164">
        <v>4067283710</v>
      </c>
    </row>
    <row r="508" spans="2:36" ht="15.75" customHeight="1" x14ac:dyDescent="0.25">
      <c r="B508" s="24">
        <v>2019</v>
      </c>
      <c r="C508" s="150" t="s">
        <v>1851</v>
      </c>
      <c r="D508" s="25" t="s">
        <v>2007</v>
      </c>
      <c r="F508" s="25" t="s">
        <v>108</v>
      </c>
      <c r="J508" s="25" t="s">
        <v>108</v>
      </c>
      <c r="L508" s="24" t="s">
        <v>60</v>
      </c>
      <c r="M508" s="157" t="s">
        <v>1995</v>
      </c>
      <c r="N508" s="24" t="s">
        <v>62</v>
      </c>
      <c r="O508" s="29">
        <v>36</v>
      </c>
      <c r="Q508" s="49">
        <v>7061630</v>
      </c>
      <c r="AC508" s="25" t="s">
        <v>2008</v>
      </c>
      <c r="AD508" s="25" t="s">
        <v>2009</v>
      </c>
      <c r="AE508" s="25" t="s">
        <v>2010</v>
      </c>
      <c r="AF508" s="25" t="s">
        <v>108</v>
      </c>
      <c r="AG508" s="25" t="s">
        <v>67</v>
      </c>
      <c r="AH508" s="25">
        <v>59808</v>
      </c>
      <c r="AI508" s="37" t="s">
        <v>2011</v>
      </c>
      <c r="AJ508" s="164">
        <v>4062141618</v>
      </c>
    </row>
    <row r="509" spans="2:36" ht="15.75" customHeight="1" x14ac:dyDescent="0.25">
      <c r="B509" s="24">
        <v>2019</v>
      </c>
      <c r="C509" s="150" t="s">
        <v>1851</v>
      </c>
      <c r="D509" s="25" t="s">
        <v>2012</v>
      </c>
      <c r="F509" s="25" t="s">
        <v>83</v>
      </c>
      <c r="J509" s="25" t="s">
        <v>84</v>
      </c>
      <c r="L509" s="24" t="s">
        <v>74</v>
      </c>
      <c r="M509" s="157" t="s">
        <v>1995</v>
      </c>
      <c r="N509" s="24" t="s">
        <v>62</v>
      </c>
      <c r="O509" s="29">
        <v>46</v>
      </c>
      <c r="Q509" s="49">
        <v>6775000</v>
      </c>
      <c r="AC509" s="25" t="s">
        <v>2013</v>
      </c>
      <c r="AD509" s="25" t="s">
        <v>2014</v>
      </c>
      <c r="AE509" s="25" t="s">
        <v>2015</v>
      </c>
      <c r="AF509" s="25" t="s">
        <v>83</v>
      </c>
      <c r="AG509" s="25" t="s">
        <v>67</v>
      </c>
      <c r="AH509" s="25">
        <v>59401</v>
      </c>
      <c r="AI509" s="37" t="s">
        <v>2016</v>
      </c>
      <c r="AJ509" s="164">
        <v>4067615861</v>
      </c>
    </row>
    <row r="510" spans="2:36" ht="15.75" customHeight="1" x14ac:dyDescent="0.25">
      <c r="B510" s="24">
        <v>2019</v>
      </c>
      <c r="C510" s="150" t="s">
        <v>1851</v>
      </c>
      <c r="D510" s="25" t="s">
        <v>2017</v>
      </c>
      <c r="F510" s="25" t="s">
        <v>93</v>
      </c>
      <c r="J510" s="25" t="s">
        <v>94</v>
      </c>
      <c r="L510" s="24" t="s">
        <v>60</v>
      </c>
      <c r="M510" s="157" t="s">
        <v>1995</v>
      </c>
      <c r="N510" s="24" t="s">
        <v>75</v>
      </c>
      <c r="O510" s="29">
        <v>40</v>
      </c>
      <c r="Q510" s="49">
        <v>7762500</v>
      </c>
      <c r="AC510" s="25" t="s">
        <v>2018</v>
      </c>
      <c r="AD510" s="25" t="s">
        <v>405</v>
      </c>
      <c r="AE510" s="25" t="s">
        <v>2019</v>
      </c>
      <c r="AF510" s="25" t="s">
        <v>108</v>
      </c>
      <c r="AG510" s="25" t="s">
        <v>67</v>
      </c>
      <c r="AH510" s="25">
        <v>59802</v>
      </c>
      <c r="AI510" s="37" t="s">
        <v>2020</v>
      </c>
      <c r="AJ510" s="164">
        <v>4065410999</v>
      </c>
    </row>
    <row r="511" spans="2:36" ht="15.75" customHeight="1" x14ac:dyDescent="0.25">
      <c r="B511" s="24">
        <v>2019</v>
      </c>
      <c r="C511" s="150" t="s">
        <v>1851</v>
      </c>
      <c r="D511" s="25" t="s">
        <v>325</v>
      </c>
      <c r="F511" s="25" t="s">
        <v>66</v>
      </c>
      <c r="J511" s="25" t="s">
        <v>59</v>
      </c>
      <c r="L511" s="24" t="s">
        <v>60</v>
      </c>
      <c r="M511" s="157" t="s">
        <v>1995</v>
      </c>
      <c r="N511" s="24" t="s">
        <v>75</v>
      </c>
      <c r="O511" s="29">
        <v>42</v>
      </c>
      <c r="Q511" s="49">
        <v>6150000</v>
      </c>
      <c r="AC511" s="25" t="s">
        <v>195</v>
      </c>
      <c r="AD511" s="25" t="s">
        <v>122</v>
      </c>
      <c r="AE511" s="25" t="s">
        <v>123</v>
      </c>
      <c r="AF511" s="25" t="s">
        <v>108</v>
      </c>
      <c r="AG511" s="25" t="s">
        <v>67</v>
      </c>
      <c r="AH511" s="25">
        <v>59806</v>
      </c>
      <c r="AI511" s="37" t="s">
        <v>124</v>
      </c>
      <c r="AJ511" s="164">
        <v>4062031558</v>
      </c>
    </row>
    <row r="512" spans="2:36" ht="15.75" customHeight="1" x14ac:dyDescent="0.25">
      <c r="B512" s="24">
        <v>2019</v>
      </c>
      <c r="C512" s="150" t="s">
        <v>1851</v>
      </c>
      <c r="D512" s="25" t="s">
        <v>392</v>
      </c>
      <c r="F512" s="25" t="s">
        <v>262</v>
      </c>
      <c r="J512" s="25" t="s">
        <v>263</v>
      </c>
      <c r="L512" s="24" t="s">
        <v>74</v>
      </c>
      <c r="M512" s="157" t="s">
        <v>1995</v>
      </c>
      <c r="N512" s="24" t="s">
        <v>62</v>
      </c>
      <c r="O512" s="29">
        <v>28</v>
      </c>
      <c r="Q512" s="49">
        <v>6976862</v>
      </c>
      <c r="AC512" s="25" t="s">
        <v>2021</v>
      </c>
      <c r="AD512" s="25" t="s">
        <v>395</v>
      </c>
      <c r="AE512" s="25" t="s">
        <v>2022</v>
      </c>
      <c r="AF512" s="25" t="s">
        <v>215</v>
      </c>
      <c r="AG512" s="25" t="s">
        <v>216</v>
      </c>
      <c r="AH512" s="25">
        <v>83702</v>
      </c>
      <c r="AI512" s="37" t="s">
        <v>2023</v>
      </c>
      <c r="AJ512" s="164">
        <v>2083314765</v>
      </c>
    </row>
    <row r="513" spans="1:68" ht="15.75" customHeight="1" x14ac:dyDescent="0.2">
      <c r="B513" s="24">
        <v>2020</v>
      </c>
      <c r="C513" s="150" t="s">
        <v>1851</v>
      </c>
      <c r="D513" s="25" t="s">
        <v>2024</v>
      </c>
      <c r="F513" s="25" t="s">
        <v>210</v>
      </c>
      <c r="G513" s="26">
        <v>59701</v>
      </c>
      <c r="J513" s="25" t="s">
        <v>211</v>
      </c>
      <c r="K513" s="28">
        <v>0.09</v>
      </c>
      <c r="L513" s="24" t="s">
        <v>60</v>
      </c>
      <c r="M513" s="25" t="s">
        <v>95</v>
      </c>
      <c r="N513" s="24" t="s">
        <v>75</v>
      </c>
      <c r="O513" s="29">
        <v>36</v>
      </c>
      <c r="P513" s="29"/>
      <c r="Q513" s="30">
        <v>6150000</v>
      </c>
      <c r="R513" s="30">
        <v>5319218</v>
      </c>
      <c r="S513" s="30"/>
      <c r="T513" s="30"/>
      <c r="AC513" s="25" t="s">
        <v>195</v>
      </c>
      <c r="AD513" s="25" t="s">
        <v>122</v>
      </c>
      <c r="AE513" s="25" t="s">
        <v>123</v>
      </c>
      <c r="AF513" s="25" t="s">
        <v>108</v>
      </c>
      <c r="AG513" s="25" t="s">
        <v>67</v>
      </c>
      <c r="AH513" s="25">
        <v>59806</v>
      </c>
      <c r="AI513" s="37" t="s">
        <v>124</v>
      </c>
      <c r="AJ513" s="164">
        <v>4062031558</v>
      </c>
      <c r="BJ513" s="40">
        <v>6344437</v>
      </c>
      <c r="BK513" s="40">
        <f>VLOOKUP(M513,[1]EconBenMult!$B$12:$D$14,2,TRUE)*(BJ513/1000000)</f>
        <v>76.323577110000002</v>
      </c>
      <c r="BL513" s="31">
        <f>VLOOKUP(M513,[1]EconBenMult!$B$12:$D$14,3,TRUE)*(BJ513/1000000)</f>
        <v>4436213.38740745</v>
      </c>
    </row>
    <row r="514" spans="1:68" s="87" customFormat="1" ht="15" customHeight="1" x14ac:dyDescent="0.2">
      <c r="A514" s="34"/>
      <c r="B514" s="24">
        <v>2020</v>
      </c>
      <c r="C514" s="150" t="s">
        <v>1851</v>
      </c>
      <c r="D514" s="25" t="s">
        <v>2025</v>
      </c>
      <c r="E514" s="25"/>
      <c r="F514" s="25" t="s">
        <v>1487</v>
      </c>
      <c r="G514" s="26">
        <v>59034</v>
      </c>
      <c r="H514" s="27"/>
      <c r="I514" s="27"/>
      <c r="J514" s="25" t="s">
        <v>187</v>
      </c>
      <c r="K514" s="28">
        <v>0.09</v>
      </c>
      <c r="L514" s="24" t="s">
        <v>74</v>
      </c>
      <c r="M514" s="25" t="s">
        <v>61</v>
      </c>
      <c r="N514" s="24" t="s">
        <v>75</v>
      </c>
      <c r="O514" s="29">
        <v>24</v>
      </c>
      <c r="P514" s="29"/>
      <c r="Q514" s="30">
        <v>3584210</v>
      </c>
      <c r="R514" s="30">
        <v>2859665</v>
      </c>
      <c r="S514" s="30"/>
      <c r="T514" s="30"/>
      <c r="U514" s="32"/>
      <c r="V514" s="33"/>
      <c r="W514" s="34"/>
      <c r="X514" s="34"/>
      <c r="Y514" s="34"/>
      <c r="Z514" s="35"/>
      <c r="AA514" s="36"/>
      <c r="AB514" s="35"/>
      <c r="AC514" s="25" t="s">
        <v>2026</v>
      </c>
      <c r="AD514" s="25" t="s">
        <v>64</v>
      </c>
      <c r="AE514" s="25" t="s">
        <v>65</v>
      </c>
      <c r="AF514" s="25" t="s">
        <v>66</v>
      </c>
      <c r="AG514" s="25" t="s">
        <v>67</v>
      </c>
      <c r="AH514" s="25">
        <v>59901</v>
      </c>
      <c r="AI514" s="37" t="s">
        <v>68</v>
      </c>
      <c r="AJ514" s="164">
        <v>4062356593</v>
      </c>
      <c r="AK514" s="42"/>
      <c r="AL514" s="24"/>
      <c r="AM514" s="25"/>
      <c r="AN514" s="25"/>
      <c r="AO514" s="25"/>
      <c r="AP514" s="25"/>
      <c r="AQ514" s="25"/>
      <c r="AR514" s="25"/>
      <c r="AS514" s="25"/>
      <c r="AT514" s="25"/>
      <c r="AU514" s="25"/>
      <c r="AV514" s="25"/>
      <c r="AW514" s="86"/>
      <c r="AX514" s="86"/>
      <c r="AY514" s="86"/>
      <c r="AZ514" s="86"/>
      <c r="BA514" s="86"/>
      <c r="BB514" s="86"/>
      <c r="BC514" s="86"/>
      <c r="BD514" s="86"/>
      <c r="BE514" s="86"/>
      <c r="BJ514" s="40">
        <v>4112665</v>
      </c>
      <c r="BK514" s="40">
        <f>VLOOKUP(M514,[1]EconBenMult!$B$12:$D$14,2,TRUE)*(BJ514/1000000)</f>
        <v>31.914280399999999</v>
      </c>
      <c r="BL514" s="31">
        <f>VLOOKUP(M514,[1]EconBenMult!$B$12:$D$14,3,TRUE)*(BJ514/1000000)</f>
        <v>1761158.4721265999</v>
      </c>
      <c r="BM514" s="40"/>
      <c r="BN514" s="40"/>
      <c r="BO514" s="40"/>
      <c r="BP514" s="40"/>
    </row>
    <row r="515" spans="1:68" s="87" customFormat="1" ht="15" customHeight="1" x14ac:dyDescent="0.2">
      <c r="A515" s="34"/>
      <c r="B515" s="24">
        <v>2020</v>
      </c>
      <c r="C515" s="150" t="s">
        <v>1851</v>
      </c>
      <c r="D515" s="25" t="s">
        <v>2027</v>
      </c>
      <c r="E515" s="25"/>
      <c r="F515" s="25" t="s">
        <v>237</v>
      </c>
      <c r="G515" s="26">
        <v>59457</v>
      </c>
      <c r="H515" s="27"/>
      <c r="I515" s="27"/>
      <c r="J515" s="25" t="s">
        <v>238</v>
      </c>
      <c r="K515" s="28">
        <v>0.09</v>
      </c>
      <c r="L515" s="24" t="s">
        <v>74</v>
      </c>
      <c r="M515" s="25" t="s">
        <v>95</v>
      </c>
      <c r="N515" s="24" t="s">
        <v>62</v>
      </c>
      <c r="O515" s="29">
        <v>12</v>
      </c>
      <c r="P515" s="29"/>
      <c r="Q515" s="30">
        <v>2950000</v>
      </c>
      <c r="R515" s="30">
        <v>2507500</v>
      </c>
      <c r="S515" s="30"/>
      <c r="T515" s="30"/>
      <c r="U515" s="32"/>
      <c r="V515" s="33"/>
      <c r="W515" s="34"/>
      <c r="X515" s="34"/>
      <c r="Y515" s="34"/>
      <c r="Z515" s="35"/>
      <c r="AA515" s="36"/>
      <c r="AB515" s="35"/>
      <c r="AC515" s="25" t="s">
        <v>416</v>
      </c>
      <c r="AD515" s="25" t="s">
        <v>417</v>
      </c>
      <c r="AE515" s="25" t="s">
        <v>297</v>
      </c>
      <c r="AF515" s="25" t="s">
        <v>108</v>
      </c>
      <c r="AG515" s="25" t="s">
        <v>67</v>
      </c>
      <c r="AH515" s="25">
        <v>59808</v>
      </c>
      <c r="AI515" s="37" t="s">
        <v>206</v>
      </c>
      <c r="AJ515" s="164">
        <v>4065324663</v>
      </c>
      <c r="AK515" s="42"/>
      <c r="AL515" s="24"/>
      <c r="AM515" s="25"/>
      <c r="AN515" s="25"/>
      <c r="AO515" s="25"/>
      <c r="AP515" s="25"/>
      <c r="AQ515" s="25"/>
      <c r="AR515" s="25"/>
      <c r="AS515" s="25"/>
      <c r="AT515" s="25"/>
      <c r="AU515" s="25"/>
      <c r="AV515" s="25"/>
      <c r="AW515" s="86"/>
      <c r="AX515" s="86"/>
      <c r="AY515" s="86"/>
      <c r="AZ515" s="86"/>
      <c r="BA515" s="86"/>
      <c r="BB515" s="86"/>
      <c r="BC515" s="86"/>
      <c r="BD515" s="86"/>
      <c r="BE515" s="86"/>
      <c r="BJ515" s="40">
        <v>2876238</v>
      </c>
      <c r="BK515" s="40">
        <f>VLOOKUP(M515,[1]EconBenMult!$B$12:$D$14,2,TRUE)*(BJ515/1000000)</f>
        <v>34.601143139999998</v>
      </c>
      <c r="BL515" s="31">
        <f>VLOOKUP(M515,[1]EconBenMult!$B$12:$D$14,3,TRUE)*(BJ515/1000000)</f>
        <v>2011148.5890662998</v>
      </c>
      <c r="BM515" s="40"/>
      <c r="BN515" s="40"/>
      <c r="BO515" s="40"/>
      <c r="BP515" s="40"/>
    </row>
    <row r="516" spans="1:68" s="87" customFormat="1" ht="15" customHeight="1" x14ac:dyDescent="0.2">
      <c r="A516" s="34"/>
      <c r="B516" s="24">
        <v>2020</v>
      </c>
      <c r="C516" s="150" t="s">
        <v>1851</v>
      </c>
      <c r="D516" s="25" t="s">
        <v>2028</v>
      </c>
      <c r="E516" s="25"/>
      <c r="F516" s="25" t="s">
        <v>93</v>
      </c>
      <c r="G516" s="26">
        <v>59718</v>
      </c>
      <c r="H516" s="27"/>
      <c r="I516" s="27"/>
      <c r="J516" s="25" t="s">
        <v>94</v>
      </c>
      <c r="K516" s="28">
        <v>0.09</v>
      </c>
      <c r="L516" s="24" t="s">
        <v>74</v>
      </c>
      <c r="M516" s="25" t="s">
        <v>61</v>
      </c>
      <c r="N516" s="24" t="s">
        <v>62</v>
      </c>
      <c r="O516" s="29">
        <v>41</v>
      </c>
      <c r="P516" s="29"/>
      <c r="Q516" s="30">
        <v>6300000</v>
      </c>
      <c r="R516" s="30">
        <v>5544000</v>
      </c>
      <c r="S516" s="30"/>
      <c r="T516" s="30"/>
      <c r="U516" s="32"/>
      <c r="V516" s="33"/>
      <c r="W516" s="34"/>
      <c r="X516" s="34"/>
      <c r="Y516" s="34"/>
      <c r="Z516" s="35"/>
      <c r="AA516" s="36"/>
      <c r="AB516" s="35"/>
      <c r="AC516" s="25" t="s">
        <v>2029</v>
      </c>
      <c r="AD516" s="25" t="s">
        <v>116</v>
      </c>
      <c r="AE516" s="25" t="s">
        <v>2030</v>
      </c>
      <c r="AF516" s="25" t="s">
        <v>103</v>
      </c>
      <c r="AG516" s="25" t="s">
        <v>67</v>
      </c>
      <c r="AH516" s="25">
        <v>59601</v>
      </c>
      <c r="AI516" s="37" t="s">
        <v>118</v>
      </c>
      <c r="AJ516" s="164">
        <v>4064595332</v>
      </c>
      <c r="AK516" s="42"/>
      <c r="AL516" s="24"/>
      <c r="AM516" s="25"/>
      <c r="AN516" s="25"/>
      <c r="AO516" s="25"/>
      <c r="AP516" s="25"/>
      <c r="AQ516" s="25"/>
      <c r="AR516" s="25"/>
      <c r="AS516" s="25"/>
      <c r="AT516" s="25"/>
      <c r="AU516" s="25"/>
      <c r="AV516" s="25"/>
      <c r="AW516" s="86"/>
      <c r="AX516" s="86"/>
      <c r="AY516" s="86"/>
      <c r="AZ516" s="86"/>
      <c r="BA516" s="86"/>
      <c r="BB516" s="86"/>
      <c r="BC516" s="86"/>
      <c r="BD516" s="86"/>
      <c r="BE516" s="86"/>
      <c r="BJ516" s="40">
        <v>9840000</v>
      </c>
      <c r="BK516" s="40">
        <f>VLOOKUP(M516,[1]EconBenMult!$B$12:$D$14,2,TRUE)*(BJ516/1000000)</f>
        <v>76.358400000000003</v>
      </c>
      <c r="BL516" s="31">
        <f>VLOOKUP(M516,[1]EconBenMult!$B$12:$D$14,3,TRUE)*(BJ516/1000000)</f>
        <v>4213763.9135999996</v>
      </c>
      <c r="BM516" s="40"/>
      <c r="BN516" s="40"/>
      <c r="BO516" s="40"/>
      <c r="BP516" s="40"/>
    </row>
    <row r="517" spans="1:68" s="87" customFormat="1" ht="15" customHeight="1" x14ac:dyDescent="0.2">
      <c r="A517" s="34"/>
      <c r="B517" s="24">
        <v>2020</v>
      </c>
      <c r="C517" s="150" t="s">
        <v>1851</v>
      </c>
      <c r="D517" s="25" t="s">
        <v>2031</v>
      </c>
      <c r="E517" s="25"/>
      <c r="F517" s="25" t="s">
        <v>596</v>
      </c>
      <c r="G517" s="26">
        <v>59741</v>
      </c>
      <c r="H517" s="27"/>
      <c r="I517" s="27"/>
      <c r="J517" s="25" t="s">
        <v>94</v>
      </c>
      <c r="K517" s="28">
        <v>0.09</v>
      </c>
      <c r="L517" s="24" t="s">
        <v>60</v>
      </c>
      <c r="M517" s="25" t="s">
        <v>95</v>
      </c>
      <c r="N517" s="24" t="s">
        <v>62</v>
      </c>
      <c r="O517" s="29">
        <v>23</v>
      </c>
      <c r="P517" s="29"/>
      <c r="Q517" s="30">
        <v>4870000</v>
      </c>
      <c r="R517" s="30">
        <v>4211708</v>
      </c>
      <c r="S517" s="30"/>
      <c r="T517" s="30"/>
      <c r="U517" s="32"/>
      <c r="V517" s="33"/>
      <c r="W517" s="34"/>
      <c r="X517" s="34"/>
      <c r="Y517" s="34"/>
      <c r="Z517" s="35"/>
      <c r="AA517" s="36"/>
      <c r="AB517" s="35"/>
      <c r="AC517" s="25" t="s">
        <v>195</v>
      </c>
      <c r="AD517" s="25" t="s">
        <v>122</v>
      </c>
      <c r="AE517" s="25" t="s">
        <v>123</v>
      </c>
      <c r="AF517" s="25" t="s">
        <v>108</v>
      </c>
      <c r="AG517" s="25" t="s">
        <v>67</v>
      </c>
      <c r="AH517" s="25">
        <v>59806</v>
      </c>
      <c r="AI517" s="37" t="s">
        <v>124</v>
      </c>
      <c r="AJ517" s="164">
        <v>4062031558</v>
      </c>
      <c r="AK517" s="42"/>
      <c r="AL517" s="24"/>
      <c r="AM517" s="25"/>
      <c r="AN517" s="25"/>
      <c r="AO517" s="25"/>
      <c r="AP517" s="25"/>
      <c r="AQ517" s="25"/>
      <c r="AR517" s="25"/>
      <c r="AS517" s="25"/>
      <c r="AT517" s="25"/>
      <c r="AU517" s="25"/>
      <c r="AV517" s="25"/>
      <c r="AW517" s="86"/>
      <c r="AX517" s="86"/>
      <c r="AY517" s="86"/>
      <c r="AZ517" s="86"/>
      <c r="BA517" s="86"/>
      <c r="BB517" s="86"/>
      <c r="BC517" s="86"/>
      <c r="BD517" s="86"/>
      <c r="BE517" s="86"/>
      <c r="BJ517" s="40">
        <v>5041914</v>
      </c>
      <c r="BK517" s="40">
        <f>VLOOKUP(M517,[1]EconBenMult!$B$12:$D$14,2,TRUE)*(BJ517/1000000)</f>
        <v>60.654225420000003</v>
      </c>
      <c r="BL517" s="31">
        <f>VLOOKUP(M517,[1]EconBenMult!$B$12:$D$14,3,TRUE)*(BJ517/1000000)</f>
        <v>3525451.7280188999</v>
      </c>
      <c r="BM517" s="40"/>
      <c r="BN517" s="40"/>
      <c r="BO517" s="40"/>
      <c r="BP517" s="40"/>
    </row>
    <row r="518" spans="1:68" s="87" customFormat="1" ht="15" customHeight="1" x14ac:dyDescent="0.2">
      <c r="A518" s="34"/>
      <c r="B518" s="24">
        <v>2020</v>
      </c>
      <c r="C518" s="150" t="s">
        <v>1851</v>
      </c>
      <c r="D518" s="25" t="s">
        <v>2032</v>
      </c>
      <c r="E518" s="25"/>
      <c r="F518" s="25" t="s">
        <v>103</v>
      </c>
      <c r="G518" s="26">
        <v>59601</v>
      </c>
      <c r="H518" s="27"/>
      <c r="I518" s="27"/>
      <c r="J518" s="44" t="s">
        <v>104</v>
      </c>
      <c r="K518" s="28">
        <v>0.09</v>
      </c>
      <c r="L518" s="24" t="s">
        <v>60</v>
      </c>
      <c r="M518" s="25" t="s">
        <v>95</v>
      </c>
      <c r="N518" s="24" t="s">
        <v>75</v>
      </c>
      <c r="O518" s="29">
        <v>36</v>
      </c>
      <c r="P518" s="29"/>
      <c r="Q518" s="30">
        <v>6050000</v>
      </c>
      <c r="R518" s="30">
        <v>5232727</v>
      </c>
      <c r="S518" s="30"/>
      <c r="T518" s="30"/>
      <c r="U518" s="32"/>
      <c r="V518" s="33"/>
      <c r="W518" s="34"/>
      <c r="X518" s="34"/>
      <c r="Y518" s="34"/>
      <c r="Z518" s="35"/>
      <c r="AA518" s="36"/>
      <c r="AB518" s="35"/>
      <c r="AC518" s="25" t="s">
        <v>195</v>
      </c>
      <c r="AD518" s="25" t="s">
        <v>122</v>
      </c>
      <c r="AE518" s="25" t="s">
        <v>123</v>
      </c>
      <c r="AF518" s="25" t="s">
        <v>108</v>
      </c>
      <c r="AG518" s="25" t="s">
        <v>67</v>
      </c>
      <c r="AH518" s="25">
        <v>59806</v>
      </c>
      <c r="AI518" s="37" t="s">
        <v>124</v>
      </c>
      <c r="AJ518" s="164">
        <v>4062031558</v>
      </c>
      <c r="AK518" s="42"/>
      <c r="AL518" s="24"/>
      <c r="AM518" s="25"/>
      <c r="AN518" s="25"/>
      <c r="AO518" s="25"/>
      <c r="AP518" s="25"/>
      <c r="AQ518" s="25"/>
      <c r="AR518" s="25"/>
      <c r="AS518" s="25"/>
      <c r="AT518" s="25"/>
      <c r="AU518" s="25"/>
      <c r="AV518" s="25"/>
      <c r="AW518" s="86"/>
      <c r="AX518" s="86"/>
      <c r="AY518" s="86"/>
      <c r="AZ518" s="86"/>
      <c r="BA518" s="86"/>
      <c r="BB518" s="86"/>
      <c r="BC518" s="86"/>
      <c r="BD518" s="86"/>
      <c r="BE518" s="86"/>
      <c r="BJ518" s="40">
        <v>6363667</v>
      </c>
      <c r="BK518" s="40">
        <f>VLOOKUP(M518,[1]EconBenMult!$B$12:$D$14,2,TRUE)*(BJ518/1000000)</f>
        <v>76.554914010000005</v>
      </c>
      <c r="BL518" s="31">
        <f>VLOOKUP(M518,[1]EconBenMult!$B$12:$D$14,3,TRUE)*(BJ518/1000000)</f>
        <v>4449659.5581929497</v>
      </c>
      <c r="BM518" s="40"/>
      <c r="BN518" s="40"/>
      <c r="BO518" s="40"/>
      <c r="BP518" s="40"/>
    </row>
    <row r="519" spans="1:68" s="87" customFormat="1" ht="15" customHeight="1" x14ac:dyDescent="0.2">
      <c r="A519" s="34"/>
      <c r="B519" s="24">
        <v>2020</v>
      </c>
      <c r="C519" s="150" t="s">
        <v>1851</v>
      </c>
      <c r="D519" s="25" t="s">
        <v>2033</v>
      </c>
      <c r="E519" s="25"/>
      <c r="F519" s="25" t="s">
        <v>226</v>
      </c>
      <c r="G519" s="26">
        <v>59044</v>
      </c>
      <c r="H519" s="27"/>
      <c r="I519" s="27"/>
      <c r="J519" s="25" t="s">
        <v>114</v>
      </c>
      <c r="K519" s="28">
        <v>0.09</v>
      </c>
      <c r="L519" s="24" t="s">
        <v>60</v>
      </c>
      <c r="M519" s="25" t="s">
        <v>95</v>
      </c>
      <c r="N519" s="24" t="s">
        <v>62</v>
      </c>
      <c r="O519" s="29">
        <v>30</v>
      </c>
      <c r="P519" s="29"/>
      <c r="Q519" s="30">
        <v>6125000</v>
      </c>
      <c r="R519" s="30">
        <v>5297065</v>
      </c>
      <c r="S519" s="30"/>
      <c r="T519" s="30"/>
      <c r="U519" s="32"/>
      <c r="V519" s="33"/>
      <c r="W519" s="34"/>
      <c r="X519" s="34"/>
      <c r="Y519" s="34"/>
      <c r="Z519" s="35"/>
      <c r="AA519" s="36"/>
      <c r="AB519" s="35"/>
      <c r="AC519" s="25" t="s">
        <v>195</v>
      </c>
      <c r="AD519" s="25" t="s">
        <v>122</v>
      </c>
      <c r="AE519" s="25" t="s">
        <v>123</v>
      </c>
      <c r="AF519" s="25" t="s">
        <v>108</v>
      </c>
      <c r="AG519" s="25" t="s">
        <v>67</v>
      </c>
      <c r="AH519" s="25">
        <v>59806</v>
      </c>
      <c r="AI519" s="37" t="s">
        <v>124</v>
      </c>
      <c r="AJ519" s="164">
        <v>4062031558</v>
      </c>
      <c r="AK519" s="42"/>
      <c r="AL519" s="24"/>
      <c r="AM519" s="25"/>
      <c r="AN519" s="25"/>
      <c r="AO519" s="25"/>
      <c r="AP519" s="25"/>
      <c r="AQ519" s="25"/>
      <c r="AR519" s="25"/>
      <c r="AS519" s="25"/>
      <c r="AT519" s="25"/>
      <c r="AU519" s="25"/>
      <c r="AV519" s="25"/>
      <c r="AW519" s="86"/>
      <c r="AX519" s="86"/>
      <c r="AY519" s="86"/>
      <c r="AZ519" s="86"/>
      <c r="BA519" s="86"/>
      <c r="BB519" s="86"/>
      <c r="BC519" s="86"/>
      <c r="BD519" s="86"/>
      <c r="BE519" s="86"/>
      <c r="BJ519" s="40">
        <v>6378090</v>
      </c>
      <c r="BK519" s="40">
        <f>VLOOKUP(M519,[1]EconBenMult!$B$12:$D$14,2,TRUE)*(BJ519/1000000)</f>
        <v>76.728422699999996</v>
      </c>
      <c r="BL519" s="31">
        <f>VLOOKUP(M519,[1]EconBenMult!$B$12:$D$14,3,TRUE)*(BJ519/1000000)</f>
        <v>4459744.5358964996</v>
      </c>
      <c r="BM519" s="40"/>
      <c r="BN519" s="40"/>
      <c r="BO519" s="40"/>
      <c r="BP519" s="40"/>
    </row>
    <row r="520" spans="1:68" s="87" customFormat="1" ht="15" customHeight="1" x14ac:dyDescent="0.2">
      <c r="A520" s="34"/>
      <c r="B520" s="24">
        <v>2020</v>
      </c>
      <c r="C520" s="150" t="s">
        <v>1851</v>
      </c>
      <c r="D520" s="25" t="s">
        <v>2034</v>
      </c>
      <c r="E520" s="25"/>
      <c r="F520" s="25" t="s">
        <v>72</v>
      </c>
      <c r="G520" s="26">
        <v>59840</v>
      </c>
      <c r="H520" s="27"/>
      <c r="I520" s="27"/>
      <c r="J520" s="25" t="s">
        <v>73</v>
      </c>
      <c r="K520" s="28">
        <v>0.09</v>
      </c>
      <c r="L520" s="24" t="s">
        <v>74</v>
      </c>
      <c r="M520" s="25" t="s">
        <v>95</v>
      </c>
      <c r="N520" s="24" t="s">
        <v>62</v>
      </c>
      <c r="O520" s="29">
        <v>30</v>
      </c>
      <c r="P520" s="29"/>
      <c r="Q520" s="30">
        <v>6300000</v>
      </c>
      <c r="R520" s="30">
        <v>5418000</v>
      </c>
      <c r="S520" s="30"/>
      <c r="T520" s="30"/>
      <c r="U520" s="32"/>
      <c r="V520" s="33"/>
      <c r="W520" s="34"/>
      <c r="X520" s="34"/>
      <c r="Y520" s="34"/>
      <c r="Z520" s="35"/>
      <c r="AA520" s="36"/>
      <c r="AB520" s="35"/>
      <c r="AC520" s="25" t="s">
        <v>1980</v>
      </c>
      <c r="AD520" s="25" t="s">
        <v>149</v>
      </c>
      <c r="AE520" s="25" t="s">
        <v>2002</v>
      </c>
      <c r="AF520" s="25" t="s">
        <v>103</v>
      </c>
      <c r="AG520" s="25" t="s">
        <v>67</v>
      </c>
      <c r="AH520" s="25">
        <v>59602</v>
      </c>
      <c r="AI520" s="37" t="s">
        <v>2003</v>
      </c>
      <c r="AJ520" s="164">
        <v>4064312151</v>
      </c>
      <c r="AK520" s="42"/>
      <c r="AL520" s="24"/>
      <c r="AM520" s="25"/>
      <c r="AN520" s="25"/>
      <c r="AO520" s="25"/>
      <c r="AP520" s="25"/>
      <c r="AQ520" s="25"/>
      <c r="AR520" s="25"/>
      <c r="AS520" s="25"/>
      <c r="AT520" s="25"/>
      <c r="AU520" s="25"/>
      <c r="AV520" s="25"/>
      <c r="AW520" s="86"/>
      <c r="AX520" s="86"/>
      <c r="AY520" s="86"/>
      <c r="AZ520" s="86"/>
      <c r="BA520" s="86"/>
      <c r="BB520" s="86"/>
      <c r="BC520" s="86"/>
      <c r="BD520" s="86"/>
      <c r="BE520" s="86"/>
      <c r="BJ520" s="40">
        <v>6963000</v>
      </c>
      <c r="BK520" s="40">
        <f>VLOOKUP(M520,[1]EconBenMult!$B$12:$D$14,2,TRUE)*(BJ520/1000000)</f>
        <v>83.764889999999994</v>
      </c>
      <c r="BL520" s="31">
        <f>VLOOKUP(M520,[1]EconBenMult!$B$12:$D$14,3,TRUE)*(BJ520/1000000)</f>
        <v>4868730.4825499998</v>
      </c>
      <c r="BM520" s="40"/>
      <c r="BN520" s="40"/>
      <c r="BO520" s="40"/>
      <c r="BP520" s="40"/>
    </row>
    <row r="521" spans="1:68" s="87" customFormat="1" ht="15" customHeight="1" x14ac:dyDescent="0.2">
      <c r="A521" s="34"/>
      <c r="B521" s="24">
        <v>2020</v>
      </c>
      <c r="C521" s="150" t="s">
        <v>1851</v>
      </c>
      <c r="D521" s="25" t="s">
        <v>2035</v>
      </c>
      <c r="E521" s="25"/>
      <c r="F521" s="25" t="s">
        <v>145</v>
      </c>
      <c r="G521" s="26">
        <v>59501</v>
      </c>
      <c r="H521" s="27"/>
      <c r="I521" s="27"/>
      <c r="J521" s="25" t="s">
        <v>146</v>
      </c>
      <c r="K521" s="28">
        <v>0.09</v>
      </c>
      <c r="L521" s="24" t="s">
        <v>74</v>
      </c>
      <c r="M521" s="25" t="s">
        <v>95</v>
      </c>
      <c r="N521" s="24" t="s">
        <v>62</v>
      </c>
      <c r="O521" s="29">
        <v>25</v>
      </c>
      <c r="P521" s="29"/>
      <c r="Q521" s="30">
        <v>5950000</v>
      </c>
      <c r="R521" s="30">
        <v>5130000</v>
      </c>
      <c r="S521" s="30"/>
      <c r="T521" s="30"/>
      <c r="U521" s="32"/>
      <c r="V521" s="33"/>
      <c r="W521" s="34"/>
      <c r="X521" s="34"/>
      <c r="Y521" s="34"/>
      <c r="Z521" s="35"/>
      <c r="AA521" s="36"/>
      <c r="AB521" s="35"/>
      <c r="AC521" s="25" t="s">
        <v>2036</v>
      </c>
      <c r="AD521" s="25" t="s">
        <v>2037</v>
      </c>
      <c r="AE521" s="25" t="s">
        <v>2038</v>
      </c>
      <c r="AF521" s="25" t="s">
        <v>103</v>
      </c>
      <c r="AG521" s="25" t="s">
        <v>67</v>
      </c>
      <c r="AH521" s="25">
        <v>59601</v>
      </c>
      <c r="AI521" s="37" t="s">
        <v>2039</v>
      </c>
      <c r="AJ521" s="164">
        <v>7036091046</v>
      </c>
      <c r="AK521" s="42"/>
      <c r="AL521" s="24"/>
      <c r="AM521" s="25"/>
      <c r="AN521" s="25"/>
      <c r="AO521" s="25"/>
      <c r="AP521" s="25"/>
      <c r="AQ521" s="25"/>
      <c r="AR521" s="25"/>
      <c r="AS521" s="25"/>
      <c r="AT521" s="25"/>
      <c r="AU521" s="25"/>
      <c r="AV521" s="25"/>
      <c r="AW521" s="86"/>
      <c r="AX521" s="86"/>
      <c r="AY521" s="86"/>
      <c r="AZ521" s="86"/>
      <c r="BA521" s="86"/>
      <c r="BB521" s="86"/>
      <c r="BC521" s="86"/>
      <c r="BD521" s="86"/>
      <c r="BE521" s="86"/>
      <c r="BJ521" s="40">
        <v>5961700</v>
      </c>
      <c r="BK521" s="40">
        <f>VLOOKUP(M521,[1]EconBenMult!$B$12:$D$14,2,TRUE)*(BJ521/1000000)</f>
        <v>71.719251</v>
      </c>
      <c r="BL521" s="31">
        <f>VLOOKUP(M521,[1]EconBenMult!$B$12:$D$14,3,TRUE)*(BJ521/1000000)</f>
        <v>4168592.6350450004</v>
      </c>
      <c r="BM521" s="40"/>
      <c r="BN521" s="40"/>
      <c r="BO521" s="40"/>
      <c r="BP521" s="40"/>
    </row>
    <row r="522" spans="1:68" s="87" customFormat="1" ht="15" customHeight="1" x14ac:dyDescent="0.2">
      <c r="A522" s="34"/>
      <c r="B522" s="24">
        <v>2020</v>
      </c>
      <c r="C522" s="150" t="s">
        <v>1851</v>
      </c>
      <c r="D522" s="25" t="s">
        <v>325</v>
      </c>
      <c r="E522" s="25"/>
      <c r="F522" s="25" t="s">
        <v>66</v>
      </c>
      <c r="G522" s="26">
        <v>59901</v>
      </c>
      <c r="H522" s="27"/>
      <c r="I522" s="27"/>
      <c r="J522" s="25" t="s">
        <v>59</v>
      </c>
      <c r="K522" s="28">
        <v>0.09</v>
      </c>
      <c r="L522" s="24" t="s">
        <v>60</v>
      </c>
      <c r="M522" s="25" t="s">
        <v>95</v>
      </c>
      <c r="N522" s="24" t="s">
        <v>75</v>
      </c>
      <c r="O522" s="29">
        <v>42</v>
      </c>
      <c r="P522" s="29"/>
      <c r="Q522" s="30">
        <v>6200000</v>
      </c>
      <c r="R522" s="30">
        <v>5362464</v>
      </c>
      <c r="S522" s="30"/>
      <c r="T522" s="30"/>
      <c r="U522" s="32"/>
      <c r="V522" s="33"/>
      <c r="W522" s="34"/>
      <c r="X522" s="34"/>
      <c r="Y522" s="34"/>
      <c r="Z522" s="35"/>
      <c r="AA522" s="36"/>
      <c r="AB522" s="35"/>
      <c r="AC522" s="25" t="s">
        <v>195</v>
      </c>
      <c r="AD522" s="25" t="s">
        <v>122</v>
      </c>
      <c r="AE522" s="25" t="s">
        <v>123</v>
      </c>
      <c r="AF522" s="25" t="s">
        <v>108</v>
      </c>
      <c r="AG522" s="25" t="s">
        <v>67</v>
      </c>
      <c r="AH522" s="25">
        <v>59806</v>
      </c>
      <c r="AI522" s="37" t="s">
        <v>124</v>
      </c>
      <c r="AJ522" s="164">
        <v>4062031558</v>
      </c>
      <c r="AK522" s="42"/>
      <c r="AL522" s="24"/>
      <c r="AM522" s="25"/>
      <c r="AN522" s="25"/>
      <c r="AO522" s="25"/>
      <c r="AP522" s="25"/>
      <c r="AQ522" s="25"/>
      <c r="AR522" s="25"/>
      <c r="AS522" s="25"/>
      <c r="AT522" s="25"/>
      <c r="AU522" s="25"/>
      <c r="AV522" s="25"/>
      <c r="AW522" s="86"/>
      <c r="AX522" s="86"/>
      <c r="AY522" s="86"/>
      <c r="AZ522" s="86"/>
      <c r="BA522" s="86"/>
      <c r="BB522" s="86"/>
      <c r="BC522" s="86"/>
      <c r="BD522" s="86"/>
      <c r="BE522" s="86"/>
      <c r="BJ522" s="40">
        <v>6848277</v>
      </c>
      <c r="BK522" s="40">
        <f>VLOOKUP(M522,[1]EconBenMult!$B$12:$D$14,2,TRUE)*(BJ522/1000000)</f>
        <v>82.384772310000002</v>
      </c>
      <c r="BL522" s="31">
        <f>VLOOKUP(M522,[1]EconBenMult!$B$12:$D$14,3,TRUE)*(BJ522/1000000)</f>
        <v>4788512.8511914499</v>
      </c>
      <c r="BM522" s="40"/>
      <c r="BN522" s="40"/>
      <c r="BO522" s="40"/>
      <c r="BP522" s="40"/>
    </row>
    <row r="523" spans="1:68" ht="15" customHeight="1" x14ac:dyDescent="0.2">
      <c r="A523" s="22"/>
      <c r="B523" s="23">
        <v>2021</v>
      </c>
      <c r="C523" s="150" t="s">
        <v>1851</v>
      </c>
      <c r="D523" s="44" t="s">
        <v>2040</v>
      </c>
      <c r="E523" s="24"/>
      <c r="F523" s="44" t="s">
        <v>113</v>
      </c>
      <c r="J523" s="44" t="s">
        <v>114</v>
      </c>
      <c r="K523" s="45">
        <v>0.09</v>
      </c>
      <c r="L523" s="46" t="s">
        <v>74</v>
      </c>
      <c r="M523" s="25" t="s">
        <v>95</v>
      </c>
      <c r="N523" s="47" t="s">
        <v>62</v>
      </c>
      <c r="O523" s="29">
        <v>18</v>
      </c>
      <c r="P523" s="23"/>
      <c r="Q523" s="30">
        <v>3500000</v>
      </c>
      <c r="R523" s="30">
        <v>3080000</v>
      </c>
      <c r="S523" s="30"/>
      <c r="T523" s="165"/>
      <c r="U523" s="166"/>
      <c r="V523" s="167"/>
      <c r="W523" s="22"/>
      <c r="X523" s="22"/>
      <c r="Y523" s="22"/>
      <c r="Z523" s="168"/>
      <c r="AA523" s="56"/>
      <c r="AB523" s="168"/>
      <c r="AC523" s="25" t="s">
        <v>2041</v>
      </c>
      <c r="AD523" s="25" t="s">
        <v>417</v>
      </c>
      <c r="AF523" s="25" t="s">
        <v>108</v>
      </c>
      <c r="AG523" s="25" t="s">
        <v>67</v>
      </c>
      <c r="AH523" s="25">
        <v>59801</v>
      </c>
      <c r="AI523" s="37" t="s">
        <v>206</v>
      </c>
      <c r="AJ523" s="164">
        <v>4065324663</v>
      </c>
      <c r="AK523" s="169"/>
      <c r="AL523" s="170"/>
      <c r="AN523" s="57"/>
      <c r="BJ523" s="40">
        <v>3895015</v>
      </c>
      <c r="BK523" s="40">
        <f>VLOOKUP(M523,[1]EconBenMult!$B$12:$D$14,2,TRUE)*(BJ523/1000000)</f>
        <v>46.857030449999996</v>
      </c>
      <c r="BL523" s="31">
        <f>VLOOKUP(M523,[1]EconBenMult!$B$12:$D$14,3,TRUE)*(BJ523/1000000)</f>
        <v>2723506.8591827499</v>
      </c>
    </row>
    <row r="524" spans="1:68" ht="15" customHeight="1" x14ac:dyDescent="0.2">
      <c r="A524" s="22"/>
      <c r="B524" s="23">
        <v>2021</v>
      </c>
      <c r="C524" s="150" t="s">
        <v>1851</v>
      </c>
      <c r="D524" s="44" t="s">
        <v>2042</v>
      </c>
      <c r="E524" s="24"/>
      <c r="F524" s="44" t="s">
        <v>210</v>
      </c>
      <c r="J524" s="44" t="s">
        <v>211</v>
      </c>
      <c r="K524" s="45">
        <v>0.09</v>
      </c>
      <c r="L524" s="46" t="s">
        <v>60</v>
      </c>
      <c r="M524" s="25" t="s">
        <v>95</v>
      </c>
      <c r="N524" s="47" t="s">
        <v>75</v>
      </c>
      <c r="O524" s="29">
        <v>36</v>
      </c>
      <c r="P524" s="23"/>
      <c r="Q524" s="30">
        <v>6435000</v>
      </c>
      <c r="R524" s="30">
        <v>5565718</v>
      </c>
      <c r="S524" s="30"/>
      <c r="T524" s="165"/>
      <c r="U524" s="166"/>
      <c r="V524" s="167"/>
      <c r="W524" s="22"/>
      <c r="X524" s="22"/>
      <c r="Y524" s="22"/>
      <c r="Z524" s="168"/>
      <c r="AA524" s="56"/>
      <c r="AB524" s="168"/>
      <c r="AC524" s="171" t="s">
        <v>195</v>
      </c>
      <c r="AD524" s="25" t="s">
        <v>122</v>
      </c>
      <c r="AF524" s="25" t="s">
        <v>108</v>
      </c>
      <c r="AG524" s="25" t="s">
        <v>67</v>
      </c>
      <c r="AH524" s="25">
        <v>59806</v>
      </c>
      <c r="AI524" s="37" t="s">
        <v>124</v>
      </c>
      <c r="AJ524" s="164">
        <v>4062031558</v>
      </c>
      <c r="AK524" s="169"/>
      <c r="AL524" s="170"/>
      <c r="AN524" s="57"/>
      <c r="BJ524" s="40">
        <v>6992918</v>
      </c>
      <c r="BK524" s="40">
        <f>VLOOKUP(M524,[1]EconBenMult!$B$12:$D$14,2,TRUE)*(BJ524/1000000)</f>
        <v>84.124803540000002</v>
      </c>
      <c r="BL524" s="31">
        <f>VLOOKUP(M524,[1]EconBenMult!$B$12:$D$14,3,TRUE)*(BJ524/1000000)</f>
        <v>4889650.0112843001</v>
      </c>
    </row>
    <row r="525" spans="1:68" ht="15" customHeight="1" x14ac:dyDescent="0.2">
      <c r="A525" s="22"/>
      <c r="B525" s="23">
        <v>2021</v>
      </c>
      <c r="C525" s="150" t="s">
        <v>1851</v>
      </c>
      <c r="D525" s="44" t="s">
        <v>2043</v>
      </c>
      <c r="E525" s="24"/>
      <c r="F525" s="44" t="s">
        <v>145</v>
      </c>
      <c r="J525" s="44" t="s">
        <v>146</v>
      </c>
      <c r="K525" s="45">
        <v>0.09</v>
      </c>
      <c r="L525" s="46" t="s">
        <v>74</v>
      </c>
      <c r="M525" s="81" t="s">
        <v>61</v>
      </c>
      <c r="N525" s="47" t="s">
        <v>62</v>
      </c>
      <c r="O525" s="29">
        <v>60</v>
      </c>
      <c r="P525" s="23"/>
      <c r="Q525" s="30">
        <v>800000</v>
      </c>
      <c r="R525" s="30">
        <v>7659932</v>
      </c>
      <c r="S525" s="30"/>
      <c r="T525" s="165"/>
      <c r="U525" s="166"/>
      <c r="V525" s="167"/>
      <c r="W525" s="22"/>
      <c r="X525" s="22"/>
      <c r="Y525" s="22"/>
      <c r="Z525" s="168"/>
      <c r="AA525" s="56"/>
      <c r="AB525" s="168"/>
      <c r="AC525" s="44" t="s">
        <v>2044</v>
      </c>
      <c r="AD525" s="25" t="s">
        <v>449</v>
      </c>
      <c r="AF525" s="25" t="s">
        <v>451</v>
      </c>
      <c r="AG525" s="25" t="s">
        <v>452</v>
      </c>
      <c r="AH525" s="25">
        <v>48072</v>
      </c>
      <c r="AI525" s="37" t="s">
        <v>453</v>
      </c>
      <c r="AJ525" s="164" t="s">
        <v>2045</v>
      </c>
      <c r="AK525" s="38"/>
      <c r="AL525" s="23"/>
      <c r="AN525" s="57"/>
      <c r="BJ525" s="40">
        <v>7659932</v>
      </c>
      <c r="BK525" s="40">
        <f>VLOOKUP(M525,[1]EconBenMult!$B$12:$D$14,2,TRUE)*(BJ525/1000000)</f>
        <v>59.441072320000004</v>
      </c>
      <c r="BL525" s="31">
        <f>VLOOKUP(M525,[1]EconBenMult!$B$12:$D$14,3,TRUE)*(BJ525/1000000)</f>
        <v>3280197.6668932801</v>
      </c>
    </row>
    <row r="526" spans="1:68" ht="15" customHeight="1" x14ac:dyDescent="0.2">
      <c r="A526" s="22"/>
      <c r="B526" s="23">
        <v>2021</v>
      </c>
      <c r="C526" s="150" t="s">
        <v>1851</v>
      </c>
      <c r="D526" s="44" t="s">
        <v>2046</v>
      </c>
      <c r="E526" s="24"/>
      <c r="F526" s="44" t="s">
        <v>1487</v>
      </c>
      <c r="J526" s="44" t="s">
        <v>187</v>
      </c>
      <c r="K526" s="45">
        <v>0.09</v>
      </c>
      <c r="L526" s="46" t="s">
        <v>74</v>
      </c>
      <c r="M526" s="81" t="s">
        <v>61</v>
      </c>
      <c r="N526" s="47" t="s">
        <v>75</v>
      </c>
      <c r="O526" s="29">
        <v>24</v>
      </c>
      <c r="P526" s="23"/>
      <c r="Q526" s="30">
        <v>3735630</v>
      </c>
      <c r="R526" s="30">
        <v>3175287</v>
      </c>
      <c r="S526" s="30"/>
      <c r="T526" s="165"/>
      <c r="U526" s="166"/>
      <c r="V526" s="167"/>
      <c r="W526" s="22"/>
      <c r="X526" s="22"/>
      <c r="Y526" s="22"/>
      <c r="Z526" s="168"/>
      <c r="AA526" s="56"/>
      <c r="AB526" s="168"/>
      <c r="AC526" s="171" t="s">
        <v>2026</v>
      </c>
      <c r="AD526" s="25" t="s">
        <v>64</v>
      </c>
      <c r="AF526" s="25" t="s">
        <v>66</v>
      </c>
      <c r="AG526" s="25" t="s">
        <v>67</v>
      </c>
      <c r="AH526" s="25">
        <v>59901</v>
      </c>
      <c r="AI526" s="37" t="s">
        <v>68</v>
      </c>
      <c r="AJ526" s="164">
        <v>4062356593</v>
      </c>
      <c r="AK526" s="38"/>
      <c r="AL526" s="23"/>
      <c r="AN526" s="57"/>
      <c r="BJ526" s="40">
        <v>4521369</v>
      </c>
      <c r="BK526" s="40">
        <f>VLOOKUP(M526,[1]EconBenMult!$B$12:$D$14,2,TRUE)*(BJ526/1000000)</f>
        <v>35.085823439999999</v>
      </c>
      <c r="BL526" s="31">
        <f>VLOOKUP(M526,[1]EconBenMult!$B$12:$D$14,3,TRUE)*(BJ526/1000000)</f>
        <v>1936176.98498676</v>
      </c>
    </row>
    <row r="527" spans="1:68" ht="15" customHeight="1" x14ac:dyDescent="0.2">
      <c r="A527" s="22"/>
      <c r="B527" s="23">
        <v>2021</v>
      </c>
      <c r="C527" s="150" t="s">
        <v>1851</v>
      </c>
      <c r="D527" s="44" t="s">
        <v>2047</v>
      </c>
      <c r="E527" s="24"/>
      <c r="F527" s="44" t="s">
        <v>113</v>
      </c>
      <c r="J527" s="44" t="s">
        <v>114</v>
      </c>
      <c r="K527" s="45">
        <v>0.09</v>
      </c>
      <c r="L527" s="46" t="s">
        <v>60</v>
      </c>
      <c r="M527" s="25" t="s">
        <v>95</v>
      </c>
      <c r="N527" s="47" t="s">
        <v>62</v>
      </c>
      <c r="O527" s="29">
        <v>30</v>
      </c>
      <c r="P527" s="23"/>
      <c r="Q527" s="30">
        <v>6250000</v>
      </c>
      <c r="R527" s="30">
        <v>5405709</v>
      </c>
      <c r="S527" s="30"/>
      <c r="T527" s="165"/>
      <c r="U527" s="166"/>
      <c r="V527" s="167"/>
      <c r="W527" s="22"/>
      <c r="X527" s="22"/>
      <c r="Y527" s="22"/>
      <c r="Z527" s="168"/>
      <c r="AA527" s="56"/>
      <c r="AB527" s="168"/>
      <c r="AC527" s="44" t="s">
        <v>195</v>
      </c>
      <c r="AD527" s="25" t="s">
        <v>122</v>
      </c>
      <c r="AF527" s="25" t="s">
        <v>108</v>
      </c>
      <c r="AG527" s="25" t="s">
        <v>67</v>
      </c>
      <c r="AH527" s="25">
        <v>59806</v>
      </c>
      <c r="AI527" s="37" t="s">
        <v>124</v>
      </c>
      <c r="AJ527" s="164">
        <v>4062031558</v>
      </c>
      <c r="AK527" s="38"/>
      <c r="AL527" s="23"/>
      <c r="AN527" s="57"/>
      <c r="BJ527" s="40">
        <v>6886666</v>
      </c>
      <c r="BK527" s="40">
        <f>VLOOKUP(M527,[1]EconBenMult!$B$12:$D$14,2,TRUE)*(BJ527/1000000)</f>
        <v>82.846591979999999</v>
      </c>
      <c r="BL527" s="31">
        <f>VLOOKUP(M527,[1]EconBenMult!$B$12:$D$14,3,TRUE)*(BJ527/1000000)</f>
        <v>4815355.5475140996</v>
      </c>
    </row>
    <row r="528" spans="1:68" ht="15" customHeight="1" x14ac:dyDescent="0.2">
      <c r="A528" s="22"/>
      <c r="B528" s="23">
        <v>2021</v>
      </c>
      <c r="C528" s="150" t="s">
        <v>1851</v>
      </c>
      <c r="D528" s="44" t="s">
        <v>2048</v>
      </c>
      <c r="E528" s="24"/>
      <c r="F528" s="44" t="s">
        <v>113</v>
      </c>
      <c r="J528" s="44" t="s">
        <v>114</v>
      </c>
      <c r="K528" s="45">
        <v>0.09</v>
      </c>
      <c r="L528" s="46" t="s">
        <v>74</v>
      </c>
      <c r="M528" s="25" t="s">
        <v>95</v>
      </c>
      <c r="N528" s="47" t="s">
        <v>62</v>
      </c>
      <c r="O528" s="29">
        <v>32</v>
      </c>
      <c r="P528" s="23"/>
      <c r="Q528" s="30">
        <v>6435000</v>
      </c>
      <c r="R528" s="30">
        <v>5662234</v>
      </c>
      <c r="S528" s="30"/>
      <c r="T528" s="165"/>
      <c r="U528" s="166"/>
      <c r="V528" s="167"/>
      <c r="W528" s="22"/>
      <c r="X528" s="22"/>
      <c r="Y528" s="22"/>
      <c r="Z528" s="168"/>
      <c r="AA528" s="56"/>
      <c r="AB528" s="168"/>
      <c r="AC528" s="171" t="s">
        <v>532</v>
      </c>
      <c r="AD528" s="25" t="s">
        <v>533</v>
      </c>
      <c r="AF528" s="25" t="s">
        <v>113</v>
      </c>
      <c r="AG528" s="25" t="s">
        <v>67</v>
      </c>
      <c r="AH528" s="25">
        <v>59101</v>
      </c>
      <c r="AI528" s="37" t="s">
        <v>2049</v>
      </c>
      <c r="AJ528" s="164" t="s">
        <v>2050</v>
      </c>
      <c r="AK528" s="38"/>
      <c r="AL528" s="23"/>
      <c r="AN528" s="57"/>
      <c r="BJ528" s="40">
        <v>6895028</v>
      </c>
      <c r="BK528" s="40">
        <f>VLOOKUP(M528,[1]EconBenMult!$B$12:$D$14,2,TRUE)*(BJ528/1000000)</f>
        <v>82.947186840000001</v>
      </c>
      <c r="BL528" s="31">
        <f>VLOOKUP(M528,[1]EconBenMult!$B$12:$D$14,3,TRUE)*(BJ528/1000000)</f>
        <v>4821202.4991577994</v>
      </c>
    </row>
    <row r="529" spans="1:64" ht="15" customHeight="1" x14ac:dyDescent="0.2">
      <c r="A529" s="22"/>
      <c r="B529" s="23">
        <v>2021</v>
      </c>
      <c r="C529" s="150" t="s">
        <v>1851</v>
      </c>
      <c r="D529" s="44" t="s">
        <v>2051</v>
      </c>
      <c r="E529" s="24"/>
      <c r="F529" s="44" t="s">
        <v>66</v>
      </c>
      <c r="J529" s="44" t="s">
        <v>59</v>
      </c>
      <c r="K529" s="45">
        <v>0.09</v>
      </c>
      <c r="L529" s="46" t="s">
        <v>60</v>
      </c>
      <c r="M529" s="25" t="s">
        <v>95</v>
      </c>
      <c r="N529" s="47" t="s">
        <v>62</v>
      </c>
      <c r="O529" s="29">
        <v>24</v>
      </c>
      <c r="P529" s="23"/>
      <c r="Q529" s="30">
        <v>6435000</v>
      </c>
      <c r="R529" s="30">
        <v>5352835</v>
      </c>
      <c r="S529" s="30"/>
      <c r="T529" s="165"/>
      <c r="U529" s="166"/>
      <c r="V529" s="167"/>
      <c r="W529" s="22"/>
      <c r="X529" s="22"/>
      <c r="Y529" s="22"/>
      <c r="Z529" s="168"/>
      <c r="AA529" s="56"/>
      <c r="AB529" s="168"/>
      <c r="AC529" s="44" t="s">
        <v>2052</v>
      </c>
      <c r="AD529" s="25" t="s">
        <v>2053</v>
      </c>
      <c r="AF529" s="25" t="s">
        <v>256</v>
      </c>
      <c r="AG529" s="25" t="s">
        <v>131</v>
      </c>
      <c r="AH529" s="25">
        <v>98101</v>
      </c>
      <c r="AI529" s="37" t="s">
        <v>257</v>
      </c>
      <c r="AJ529" s="164" t="s">
        <v>2054</v>
      </c>
      <c r="AK529" s="38"/>
      <c r="AL529" s="23"/>
      <c r="AN529" s="57"/>
      <c r="BJ529" s="40">
        <v>6794354</v>
      </c>
      <c r="BK529" s="40">
        <f>VLOOKUP(M529,[1]EconBenMult!$B$12:$D$14,2,TRUE)*(BJ529/1000000)</f>
        <v>81.736078620000001</v>
      </c>
      <c r="BL529" s="31">
        <f>VLOOKUP(M529,[1]EconBenMult!$B$12:$D$14,3,TRUE)*(BJ529/1000000)</f>
        <v>4750808.3339128997</v>
      </c>
    </row>
    <row r="530" spans="1:64" ht="15" customHeight="1" x14ac:dyDescent="0.2">
      <c r="A530" s="22"/>
      <c r="B530" s="23">
        <v>2021</v>
      </c>
      <c r="C530" s="150" t="s">
        <v>1851</v>
      </c>
      <c r="D530" s="44" t="s">
        <v>2055</v>
      </c>
      <c r="E530" s="24"/>
      <c r="F530" s="44" t="s">
        <v>66</v>
      </c>
      <c r="J530" s="44" t="s">
        <v>59</v>
      </c>
      <c r="K530" s="45">
        <v>0.04</v>
      </c>
      <c r="L530" s="46" t="s">
        <v>60</v>
      </c>
      <c r="M530" s="25" t="s">
        <v>95</v>
      </c>
      <c r="N530" s="47" t="s">
        <v>62</v>
      </c>
      <c r="O530" s="29">
        <v>72</v>
      </c>
      <c r="P530" s="23"/>
      <c r="Q530" s="30">
        <v>3751190</v>
      </c>
      <c r="R530" s="30">
        <v>3600237</v>
      </c>
      <c r="S530" s="30"/>
      <c r="T530" s="165"/>
      <c r="U530" s="166"/>
      <c r="V530" s="167"/>
      <c r="W530" s="22"/>
      <c r="X530" s="22"/>
      <c r="Y530" s="22"/>
      <c r="Z530" s="168"/>
      <c r="AA530" s="56"/>
      <c r="AB530" s="168"/>
      <c r="AC530" s="44" t="s">
        <v>2052</v>
      </c>
      <c r="AD530" s="25" t="s">
        <v>2053</v>
      </c>
      <c r="AF530" s="25" t="s">
        <v>256</v>
      </c>
      <c r="AG530" s="25" t="s">
        <v>131</v>
      </c>
      <c r="AH530" s="25">
        <v>98101</v>
      </c>
      <c r="AI530" s="37" t="s">
        <v>257</v>
      </c>
      <c r="AJ530" s="164" t="s">
        <v>2054</v>
      </c>
      <c r="AK530" s="38"/>
      <c r="AL530" s="23"/>
      <c r="AN530" s="57"/>
      <c r="BJ530" s="40">
        <v>13000543</v>
      </c>
      <c r="BK530" s="40">
        <f>VLOOKUP(M530,[1]EconBenMult!$B$12:$D$14,2,TRUE)*(BJ530/1000000)</f>
        <v>156.39653229000001</v>
      </c>
      <c r="BL530" s="31">
        <f>VLOOKUP(M530,[1]EconBenMult!$B$12:$D$14,3,TRUE)*(BJ530/1000000)</f>
        <v>9090354.7312655505</v>
      </c>
    </row>
    <row r="531" spans="1:64" ht="15" customHeight="1" x14ac:dyDescent="0.2">
      <c r="A531" s="22"/>
      <c r="B531" s="23">
        <v>2021</v>
      </c>
      <c r="C531" s="150" t="s">
        <v>1851</v>
      </c>
      <c r="D531" s="44" t="s">
        <v>2056</v>
      </c>
      <c r="E531" s="24"/>
      <c r="F531" s="44" t="s">
        <v>517</v>
      </c>
      <c r="J531" s="44" t="s">
        <v>518</v>
      </c>
      <c r="K531" s="45">
        <v>0.09</v>
      </c>
      <c r="L531" s="46" t="s">
        <v>188</v>
      </c>
      <c r="M531" s="25" t="s">
        <v>95</v>
      </c>
      <c r="N531" s="47" t="s">
        <v>62</v>
      </c>
      <c r="O531" s="29">
        <v>30</v>
      </c>
      <c r="P531" s="23"/>
      <c r="Q531" s="30">
        <v>6192635</v>
      </c>
      <c r="R531" s="30">
        <v>5015763</v>
      </c>
      <c r="S531" s="30"/>
      <c r="T531" s="165"/>
      <c r="U531" s="166"/>
      <c r="V531" s="167"/>
      <c r="W531" s="22"/>
      <c r="X531" s="22"/>
      <c r="Y531" s="22"/>
      <c r="Z531" s="168"/>
      <c r="AA531" s="56"/>
      <c r="AB531" s="168"/>
      <c r="AC531" s="171" t="s">
        <v>2057</v>
      </c>
      <c r="AD531" s="25" t="s">
        <v>2058</v>
      </c>
      <c r="AF531" s="25" t="s">
        <v>517</v>
      </c>
      <c r="AG531" s="25" t="s">
        <v>67</v>
      </c>
      <c r="AH531" s="25">
        <v>59417</v>
      </c>
      <c r="AI531" s="37" t="s">
        <v>2059</v>
      </c>
      <c r="AJ531" s="164" t="s">
        <v>2060</v>
      </c>
      <c r="AK531" s="38"/>
      <c r="AL531" s="23"/>
      <c r="AN531" s="57"/>
      <c r="BJ531" s="40">
        <v>5754849</v>
      </c>
      <c r="BK531" s="40">
        <f>VLOOKUP(M531,[1]EconBenMult!$B$12:$D$14,2,TRUE)*(BJ531/1000000)</f>
        <v>69.230833469999993</v>
      </c>
      <c r="BL531" s="31">
        <f>VLOOKUP(M531,[1]EconBenMult!$B$12:$D$14,3,TRUE)*(BJ531/1000000)</f>
        <v>4023956.4481936498</v>
      </c>
    </row>
    <row r="532" spans="1:64" ht="15" customHeight="1" x14ac:dyDescent="0.2">
      <c r="A532" s="22"/>
      <c r="B532" s="23">
        <v>2022</v>
      </c>
      <c r="C532" s="150" t="s">
        <v>1851</v>
      </c>
      <c r="D532" s="44" t="s">
        <v>2061</v>
      </c>
      <c r="F532" s="44" t="s">
        <v>1642</v>
      </c>
      <c r="J532" s="44" t="s">
        <v>1643</v>
      </c>
      <c r="K532" s="45">
        <v>0.09</v>
      </c>
      <c r="L532" s="46" t="s">
        <v>60</v>
      </c>
      <c r="M532" s="25" t="s">
        <v>767</v>
      </c>
      <c r="N532" s="47" t="s">
        <v>62</v>
      </c>
      <c r="O532" s="29">
        <v>12</v>
      </c>
      <c r="P532" s="23"/>
      <c r="Q532" s="30">
        <v>2960000</v>
      </c>
      <c r="R532" s="79"/>
      <c r="S532" s="30"/>
      <c r="T532" s="30"/>
      <c r="W532" s="22"/>
      <c r="X532" s="22"/>
      <c r="Y532" s="22"/>
      <c r="Z532" s="168"/>
      <c r="AA532" s="56"/>
      <c r="AB532" s="168"/>
      <c r="AC532" s="25" t="s">
        <v>1980</v>
      </c>
      <c r="AD532" s="25" t="s">
        <v>149</v>
      </c>
      <c r="AF532" s="25" t="s">
        <v>103</v>
      </c>
      <c r="AG532" s="25" t="s">
        <v>67</v>
      </c>
      <c r="AI532" s="37" t="s">
        <v>2003</v>
      </c>
      <c r="AJ532" s="25" t="s">
        <v>2062</v>
      </c>
      <c r="AK532" s="38"/>
      <c r="AL532" s="23"/>
      <c r="AN532" s="57"/>
    </row>
    <row r="533" spans="1:64" ht="15" customHeight="1" x14ac:dyDescent="0.2">
      <c r="A533" s="22"/>
      <c r="B533" s="23">
        <v>2022</v>
      </c>
      <c r="C533" s="150" t="s">
        <v>1851</v>
      </c>
      <c r="D533" s="44" t="s">
        <v>2063</v>
      </c>
      <c r="F533" s="44" t="s">
        <v>66</v>
      </c>
      <c r="J533" s="44" t="s">
        <v>59</v>
      </c>
      <c r="K533" s="45">
        <v>0.09</v>
      </c>
      <c r="L533" s="46" t="s">
        <v>60</v>
      </c>
      <c r="M533" s="25" t="s">
        <v>1995</v>
      </c>
      <c r="N533" s="47" t="s">
        <v>62</v>
      </c>
      <c r="O533" s="29">
        <v>30</v>
      </c>
      <c r="P533" s="23"/>
      <c r="Q533" s="30">
        <v>6400000</v>
      </c>
      <c r="R533" s="79"/>
      <c r="S533" s="30"/>
      <c r="T533" s="30"/>
      <c r="W533" s="22"/>
      <c r="X533" s="22"/>
      <c r="Y533" s="22"/>
      <c r="Z533" s="168"/>
      <c r="AA533" s="56"/>
      <c r="AB533" s="168"/>
      <c r="AC533" s="25" t="s">
        <v>796</v>
      </c>
      <c r="AD533" s="25" t="s">
        <v>2064</v>
      </c>
      <c r="AF533" s="25" t="s">
        <v>108</v>
      </c>
      <c r="AG533" s="25" t="s">
        <v>67</v>
      </c>
      <c r="AI533" s="37" t="s">
        <v>2065</v>
      </c>
      <c r="AJ533" s="25" t="s">
        <v>2066</v>
      </c>
      <c r="AK533" s="38"/>
      <c r="AL533" s="23"/>
      <c r="AN533" s="57"/>
    </row>
    <row r="534" spans="1:64" ht="15" customHeight="1" x14ac:dyDescent="0.2">
      <c r="A534" s="22"/>
      <c r="B534" s="23">
        <v>2022</v>
      </c>
      <c r="C534" s="150" t="s">
        <v>1851</v>
      </c>
      <c r="D534" s="44" t="s">
        <v>2067</v>
      </c>
      <c r="F534" s="44" t="s">
        <v>1464</v>
      </c>
      <c r="J534" s="44" t="s">
        <v>94</v>
      </c>
      <c r="K534" s="45">
        <v>0.09</v>
      </c>
      <c r="L534" s="46" t="s">
        <v>60</v>
      </c>
      <c r="M534" s="25" t="s">
        <v>767</v>
      </c>
      <c r="N534" s="47" t="s">
        <v>62</v>
      </c>
      <c r="O534" s="29">
        <v>20</v>
      </c>
      <c r="P534" s="23"/>
      <c r="Q534" s="30">
        <v>5391600</v>
      </c>
      <c r="R534" s="79"/>
      <c r="S534" s="30"/>
      <c r="T534" s="30"/>
      <c r="W534" s="22"/>
      <c r="X534" s="22"/>
      <c r="Y534" s="22"/>
      <c r="Z534" s="168"/>
      <c r="AA534" s="56"/>
      <c r="AB534" s="168"/>
      <c r="AC534" s="25" t="s">
        <v>2068</v>
      </c>
      <c r="AD534" s="25" t="s">
        <v>2069</v>
      </c>
      <c r="AF534" s="25" t="s">
        <v>2070</v>
      </c>
      <c r="AG534" s="25" t="s">
        <v>688</v>
      </c>
      <c r="AI534" s="37" t="s">
        <v>2071</v>
      </c>
      <c r="AJ534" s="25" t="s">
        <v>2072</v>
      </c>
      <c r="AK534" s="38"/>
      <c r="AL534" s="23"/>
      <c r="AN534" s="57"/>
    </row>
    <row r="535" spans="1:64" ht="15" customHeight="1" x14ac:dyDescent="0.2">
      <c r="A535" s="22"/>
      <c r="B535" s="23">
        <v>2022</v>
      </c>
      <c r="C535" s="150" t="s">
        <v>1851</v>
      </c>
      <c r="D535" s="44" t="s">
        <v>2073</v>
      </c>
      <c r="F535" s="44" t="s">
        <v>568</v>
      </c>
      <c r="J535" s="44" t="s">
        <v>94</v>
      </c>
      <c r="K535" s="45">
        <v>0.09</v>
      </c>
      <c r="L535" s="46" t="s">
        <v>60</v>
      </c>
      <c r="M535" s="25" t="s">
        <v>1995</v>
      </c>
      <c r="N535" s="47" t="s">
        <v>62</v>
      </c>
      <c r="O535" s="29">
        <v>30</v>
      </c>
      <c r="P535" s="23"/>
      <c r="Q535" s="30">
        <v>6400000</v>
      </c>
      <c r="R535" s="79"/>
      <c r="S535" s="30"/>
      <c r="T535" s="30"/>
      <c r="W535" s="22"/>
      <c r="X535" s="22"/>
      <c r="Y535" s="22"/>
      <c r="Z535" s="168"/>
      <c r="AA535" s="56"/>
      <c r="AB535" s="168"/>
      <c r="AC535" s="25" t="s">
        <v>96</v>
      </c>
      <c r="AD535" s="25" t="s">
        <v>97</v>
      </c>
      <c r="AF535" s="25" t="s">
        <v>2074</v>
      </c>
      <c r="AG535" s="25" t="s">
        <v>1483</v>
      </c>
      <c r="AI535" s="37" t="s">
        <v>99</v>
      </c>
      <c r="AJ535" s="25" t="s">
        <v>2075</v>
      </c>
      <c r="AK535" s="38"/>
      <c r="AL535" s="23"/>
      <c r="AN535" s="57"/>
    </row>
    <row r="536" spans="1:64" ht="15" customHeight="1" x14ac:dyDescent="0.2">
      <c r="A536" s="22"/>
      <c r="B536" s="23">
        <v>2022</v>
      </c>
      <c r="C536" s="150" t="s">
        <v>1851</v>
      </c>
      <c r="D536" s="44" t="s">
        <v>2076</v>
      </c>
      <c r="F536" s="44" t="s">
        <v>108</v>
      </c>
      <c r="J536" s="44" t="s">
        <v>108</v>
      </c>
      <c r="K536" s="45">
        <v>0.09</v>
      </c>
      <c r="L536" s="46" t="s">
        <v>60</v>
      </c>
      <c r="M536" s="25" t="s">
        <v>1995</v>
      </c>
      <c r="N536" s="47" t="s">
        <v>62</v>
      </c>
      <c r="O536" s="29">
        <v>32</v>
      </c>
      <c r="P536" s="23"/>
      <c r="Q536" s="30">
        <v>6491250</v>
      </c>
      <c r="R536" s="79"/>
      <c r="S536" s="30"/>
      <c r="T536" s="30"/>
      <c r="W536" s="22"/>
      <c r="X536" s="22"/>
      <c r="Y536" s="22"/>
      <c r="Z536" s="168"/>
      <c r="AA536" s="56"/>
      <c r="AB536" s="168"/>
      <c r="AC536" s="25" t="s">
        <v>2077</v>
      </c>
      <c r="AD536" s="25" t="s">
        <v>2078</v>
      </c>
      <c r="AF536" s="25" t="s">
        <v>2079</v>
      </c>
      <c r="AG536" s="25" t="s">
        <v>688</v>
      </c>
      <c r="AI536" s="37" t="s">
        <v>2080</v>
      </c>
      <c r="AJ536" s="25" t="s">
        <v>2081</v>
      </c>
      <c r="AK536" s="38"/>
      <c r="AL536" s="23"/>
      <c r="AN536" s="57"/>
    </row>
    <row r="537" spans="1:64" ht="15" customHeight="1" x14ac:dyDescent="0.2">
      <c r="A537" s="22"/>
      <c r="B537" s="23">
        <v>2022</v>
      </c>
      <c r="C537" s="150" t="s">
        <v>1851</v>
      </c>
      <c r="D537" s="44" t="s">
        <v>2082</v>
      </c>
      <c r="F537" s="44" t="s">
        <v>525</v>
      </c>
      <c r="J537" s="44" t="s">
        <v>441</v>
      </c>
      <c r="K537" s="45">
        <v>0.09</v>
      </c>
      <c r="L537" s="46" t="s">
        <v>60</v>
      </c>
      <c r="M537" s="25" t="s">
        <v>1995</v>
      </c>
      <c r="N537" s="47" t="s">
        <v>75</v>
      </c>
      <c r="O537" s="29">
        <v>30</v>
      </c>
      <c r="P537" s="23"/>
      <c r="Q537" s="30">
        <v>6491250</v>
      </c>
      <c r="R537" s="79"/>
      <c r="S537" s="30"/>
      <c r="T537" s="30"/>
      <c r="W537" s="22"/>
      <c r="X537" s="22"/>
      <c r="Y537" s="22"/>
      <c r="Z537" s="168"/>
      <c r="AA537" s="56"/>
      <c r="AB537" s="168"/>
      <c r="AC537" s="25" t="s">
        <v>195</v>
      </c>
      <c r="AD537" s="25" t="s">
        <v>122</v>
      </c>
      <c r="AF537" s="25" t="s">
        <v>108</v>
      </c>
      <c r="AG537" s="25" t="s">
        <v>67</v>
      </c>
      <c r="AI537" s="37" t="s">
        <v>124</v>
      </c>
      <c r="AJ537" s="25" t="s">
        <v>2083</v>
      </c>
      <c r="AK537" s="38"/>
      <c r="AL537" s="23"/>
      <c r="AN537" s="57"/>
    </row>
    <row r="538" spans="1:64" ht="15" customHeight="1" x14ac:dyDescent="0.2">
      <c r="A538" s="22"/>
      <c r="B538" s="23">
        <v>2022</v>
      </c>
      <c r="C538" s="24" t="s">
        <v>2084</v>
      </c>
      <c r="D538" s="44" t="s">
        <v>2085</v>
      </c>
      <c r="F538" s="44" t="s">
        <v>1487</v>
      </c>
      <c r="J538" s="44" t="s">
        <v>187</v>
      </c>
      <c r="K538" s="45">
        <v>0.09</v>
      </c>
      <c r="L538" s="46" t="s">
        <v>239</v>
      </c>
      <c r="M538" s="25" t="s">
        <v>767</v>
      </c>
      <c r="N538" s="47" t="s">
        <v>75</v>
      </c>
      <c r="O538" s="29">
        <v>24</v>
      </c>
      <c r="P538" s="23"/>
      <c r="Q538" s="30">
        <v>4438010</v>
      </c>
      <c r="R538" s="79"/>
      <c r="S538" s="30"/>
      <c r="T538" s="30"/>
      <c r="W538" s="22"/>
      <c r="X538" s="22"/>
      <c r="Y538" s="22"/>
      <c r="Z538" s="35">
        <f>DATE(YEAR(W538)+14,MONTH(W538),DAY(W538))</f>
        <v>5114</v>
      </c>
      <c r="AA538" s="56"/>
      <c r="AB538" s="35">
        <f>DATE(YEAR(Z538)+AA538,MONTH(Z538),DAY(Z538))</f>
        <v>5114</v>
      </c>
      <c r="AC538" s="25" t="s">
        <v>2086</v>
      </c>
      <c r="AD538" s="25" t="s">
        <v>64</v>
      </c>
      <c r="AF538" s="25" t="s">
        <v>66</v>
      </c>
      <c r="AG538" s="25" t="s">
        <v>67</v>
      </c>
      <c r="AI538" s="37" t="s">
        <v>68</v>
      </c>
      <c r="AJ538" s="25">
        <v>4065324663</v>
      </c>
      <c r="AK538" s="38"/>
      <c r="AL538" s="23">
        <f>SUM(AM538:AV538)</f>
        <v>0</v>
      </c>
      <c r="AN538" s="57"/>
      <c r="BG538" s="25">
        <f>SUM(AY538:BF538)</f>
        <v>0</v>
      </c>
    </row>
    <row r="539" spans="1:64" ht="15" customHeight="1" x14ac:dyDescent="0.2">
      <c r="A539" s="22"/>
      <c r="B539" s="23">
        <v>2022</v>
      </c>
      <c r="C539" s="24" t="s">
        <v>2084</v>
      </c>
      <c r="D539" s="44" t="s">
        <v>2087</v>
      </c>
      <c r="F539" s="44" t="s">
        <v>198</v>
      </c>
      <c r="J539" s="44" t="s">
        <v>199</v>
      </c>
      <c r="K539" s="45">
        <v>0.09</v>
      </c>
      <c r="L539" s="46" t="s">
        <v>239</v>
      </c>
      <c r="M539" s="25" t="s">
        <v>95</v>
      </c>
      <c r="N539" s="47" t="s">
        <v>62</v>
      </c>
      <c r="O539" s="29">
        <v>24</v>
      </c>
      <c r="P539" s="23"/>
      <c r="Q539" s="30">
        <v>6491000</v>
      </c>
      <c r="R539" s="79"/>
      <c r="S539" s="30"/>
      <c r="T539" s="30"/>
      <c r="W539" s="22"/>
      <c r="X539" s="22"/>
      <c r="Y539" s="22"/>
      <c r="Z539" s="35">
        <f>DATE(YEAR(W539)+14,MONTH(W539),DAY(W539))</f>
        <v>5114</v>
      </c>
      <c r="AA539" s="56"/>
      <c r="AB539" s="35">
        <f>DATE(YEAR(Z539)+AA539,MONTH(Z539),DAY(Z539))</f>
        <v>5114</v>
      </c>
      <c r="AC539" s="25" t="s">
        <v>2088</v>
      </c>
      <c r="AD539" s="25" t="s">
        <v>64</v>
      </c>
      <c r="AF539" s="25" t="s">
        <v>66</v>
      </c>
      <c r="AG539" s="25" t="s">
        <v>67</v>
      </c>
      <c r="AI539" s="37" t="s">
        <v>68</v>
      </c>
      <c r="AJ539" s="25">
        <v>4062356593</v>
      </c>
      <c r="AK539" s="38"/>
      <c r="AL539" s="23">
        <f>SUM(AM539:AV539)</f>
        <v>0</v>
      </c>
      <c r="AN539" s="57"/>
      <c r="BG539" s="25">
        <f>SUM(AY539:BF539)</f>
        <v>0</v>
      </c>
    </row>
    <row r="540" spans="1:64" ht="15" customHeight="1" x14ac:dyDescent="0.2">
      <c r="A540" s="22"/>
      <c r="B540" s="23">
        <v>2022</v>
      </c>
      <c r="C540" s="24" t="s">
        <v>2084</v>
      </c>
      <c r="D540" s="44" t="s">
        <v>193</v>
      </c>
      <c r="E540" s="25" t="s">
        <v>194</v>
      </c>
      <c r="F540" s="44" t="s">
        <v>83</v>
      </c>
      <c r="G540" s="26">
        <v>59405</v>
      </c>
      <c r="H540" s="27">
        <v>47.499870000000001</v>
      </c>
      <c r="I540" s="27">
        <v>-111.30262999999999</v>
      </c>
      <c r="J540" s="44" t="s">
        <v>84</v>
      </c>
      <c r="K540" s="45">
        <v>0.09</v>
      </c>
      <c r="L540" s="46" t="s">
        <v>60</v>
      </c>
      <c r="M540" s="25" t="s">
        <v>95</v>
      </c>
      <c r="N540" s="47" t="s">
        <v>75</v>
      </c>
      <c r="O540" s="29">
        <v>36</v>
      </c>
      <c r="P540" s="23"/>
      <c r="Q540" s="30">
        <v>6491250</v>
      </c>
      <c r="R540" s="79"/>
      <c r="S540" s="30"/>
      <c r="T540" s="30"/>
      <c r="W540" s="22"/>
      <c r="X540" s="22"/>
      <c r="Y540" s="22"/>
      <c r="Z540" s="35">
        <f>DATE(YEAR(W540)+14,MONTH(W540),DAY(W540))</f>
        <v>5114</v>
      </c>
      <c r="AA540" s="56"/>
      <c r="AB540" s="35">
        <f>DATE(YEAR(Z540)+AA540,MONTH(Z540),DAY(Z540))</f>
        <v>5114</v>
      </c>
      <c r="AC540" s="25" t="s">
        <v>195</v>
      </c>
      <c r="AD540" s="25" t="s">
        <v>122</v>
      </c>
      <c r="AE540" s="25" t="s">
        <v>123</v>
      </c>
      <c r="AF540" s="25" t="s">
        <v>108</v>
      </c>
      <c r="AG540" s="25" t="s">
        <v>67</v>
      </c>
      <c r="AH540" s="25">
        <v>59806</v>
      </c>
      <c r="AI540" s="37" t="s">
        <v>124</v>
      </c>
      <c r="AJ540" s="25">
        <v>4062031558</v>
      </c>
      <c r="AK540" s="38"/>
      <c r="AL540" s="23">
        <f>SUM(AM540:AV540)</f>
        <v>0</v>
      </c>
      <c r="AN540" s="57"/>
      <c r="AW540" s="24" t="s">
        <v>228</v>
      </c>
      <c r="BA540" s="24">
        <f>19+12+7</f>
        <v>38</v>
      </c>
      <c r="BB540" s="24">
        <f>19+12+8</f>
        <v>39</v>
      </c>
      <c r="BC540" s="24">
        <f>19+11+6</f>
        <v>36</v>
      </c>
      <c r="BF540" s="25">
        <v>1</v>
      </c>
      <c r="BG540" s="25">
        <f>SUM(AY540:BF540)</f>
        <v>114</v>
      </c>
      <c r="BH540" s="39">
        <f>((AY540*AY$1)+(AZ540*AZ$1)+(BA540*BA$1)+(BB540*BB$1)+(BC540*BC$1)+(BD540*BD$1))/SUM(AY540:BD540)</f>
        <v>0.59823008849557513</v>
      </c>
    </row>
    <row r="541" spans="1:64" x14ac:dyDescent="0.2">
      <c r="A541" s="22">
        <v>44698</v>
      </c>
      <c r="B541" s="23">
        <v>2023</v>
      </c>
      <c r="C541" s="24" t="s">
        <v>2089</v>
      </c>
      <c r="D541" s="44" t="s">
        <v>2090</v>
      </c>
      <c r="F541" s="172" t="s">
        <v>1642</v>
      </c>
      <c r="J541" s="25" t="s">
        <v>1643</v>
      </c>
      <c r="K541" s="28">
        <v>0.09</v>
      </c>
      <c r="L541" s="24" t="s">
        <v>60</v>
      </c>
      <c r="M541" s="25" t="s">
        <v>61</v>
      </c>
      <c r="N541" s="24" t="s">
        <v>62</v>
      </c>
      <c r="O541" s="29">
        <v>12</v>
      </c>
      <c r="Q541" s="31">
        <v>3490000</v>
      </c>
      <c r="R541" s="31">
        <v>2995000</v>
      </c>
      <c r="S541" s="31"/>
      <c r="T541" s="30"/>
      <c r="AC541" s="25" t="s">
        <v>1980</v>
      </c>
      <c r="AF541" s="25" t="s">
        <v>103</v>
      </c>
      <c r="AI541" s="37" t="s">
        <v>2003</v>
      </c>
      <c r="AJ541" s="25">
        <v>4064312151</v>
      </c>
      <c r="AK541" s="38"/>
      <c r="AL541" s="23"/>
      <c r="BH541" s="39"/>
      <c r="BJ541" s="40">
        <v>3360000</v>
      </c>
      <c r="BK541" s="40">
        <f>VLOOKUP(M541,[1]EconBenMult!$B$12:$D$14,2,TRUE)*(BJ541/1000000)</f>
        <v>26.073599999999999</v>
      </c>
      <c r="BL541" s="31">
        <f>VLOOKUP(M541,[1]EconBenMult!$B$12:$D$14,3,TRUE)*(BJ541/1000000)</f>
        <v>1438846.2143999999</v>
      </c>
    </row>
    <row r="542" spans="1:64" x14ac:dyDescent="0.2">
      <c r="A542" s="22">
        <v>44698</v>
      </c>
      <c r="B542" s="23">
        <v>2023</v>
      </c>
      <c r="C542" s="24" t="s">
        <v>2089</v>
      </c>
      <c r="D542" s="44" t="s">
        <v>2091</v>
      </c>
      <c r="F542" s="173" t="s">
        <v>1570</v>
      </c>
      <c r="J542" s="25" t="s">
        <v>59</v>
      </c>
      <c r="K542" s="28">
        <v>0.09</v>
      </c>
      <c r="L542" s="24" t="s">
        <v>2092</v>
      </c>
      <c r="M542" s="25" t="s">
        <v>61</v>
      </c>
      <c r="N542" s="24" t="s">
        <v>75</v>
      </c>
      <c r="O542" s="29">
        <v>24</v>
      </c>
      <c r="Q542" s="31">
        <v>3594600</v>
      </c>
      <c r="R542" s="31">
        <v>3055104</v>
      </c>
      <c r="S542" s="31"/>
      <c r="T542" s="30"/>
      <c r="AC542" s="25" t="s">
        <v>2093</v>
      </c>
      <c r="AF542" s="25" t="s">
        <v>66</v>
      </c>
      <c r="AI542" s="37" t="s">
        <v>68</v>
      </c>
      <c r="AJ542" s="25">
        <v>4062356593</v>
      </c>
      <c r="AK542" s="38"/>
      <c r="AL542" s="23"/>
      <c r="BH542" s="39"/>
      <c r="BJ542" s="40">
        <v>5536597</v>
      </c>
      <c r="BK542" s="40">
        <f>VLOOKUP(M542,[1]EconBenMult!$B$12:$D$14,2,TRUE)*(BJ542/1000000)</f>
        <v>42.96399272</v>
      </c>
      <c r="BL542" s="31">
        <f>VLOOKUP(M542,[1]EconBenMult!$B$12:$D$14,3,TRUE)*(BJ542/1000000)</f>
        <v>2370926.0815798799</v>
      </c>
    </row>
    <row r="543" spans="1:64" x14ac:dyDescent="0.2">
      <c r="A543" s="22">
        <v>44698</v>
      </c>
      <c r="B543" s="23">
        <v>2023</v>
      </c>
      <c r="C543" s="24" t="s">
        <v>2089</v>
      </c>
      <c r="D543" s="44" t="s">
        <v>2094</v>
      </c>
      <c r="F543" s="172" t="s">
        <v>66</v>
      </c>
      <c r="J543" s="25" t="s">
        <v>59</v>
      </c>
      <c r="K543" s="28">
        <v>0.09</v>
      </c>
      <c r="L543" s="24" t="s">
        <v>60</v>
      </c>
      <c r="M543" s="25" t="s">
        <v>61</v>
      </c>
      <c r="N543" s="24" t="s">
        <v>75</v>
      </c>
      <c r="O543" s="29">
        <v>24</v>
      </c>
      <c r="Q543" s="31">
        <v>6180000</v>
      </c>
      <c r="R543" s="31">
        <v>5437856</v>
      </c>
      <c r="S543" s="31"/>
      <c r="T543" s="30"/>
      <c r="AC543" s="25" t="s">
        <v>115</v>
      </c>
      <c r="AF543" s="25" t="s">
        <v>103</v>
      </c>
      <c r="AI543" s="37" t="s">
        <v>118</v>
      </c>
      <c r="AJ543" s="25">
        <v>4064595332</v>
      </c>
      <c r="AK543" s="38"/>
      <c r="AL543" s="23"/>
      <c r="BH543" s="39"/>
      <c r="BJ543" s="40">
        <v>6707856</v>
      </c>
      <c r="BK543" s="40">
        <f>VLOOKUP(M543,[1]EconBenMult!$B$12:$D$14,2,TRUE)*(BJ543/1000000)</f>
        <v>52.052962559999997</v>
      </c>
      <c r="BL543" s="31">
        <f>VLOOKUP(M543,[1]EconBenMult!$B$12:$D$14,3,TRUE)*(BJ543/1000000)</f>
        <v>2872492.0274822395</v>
      </c>
    </row>
    <row r="544" spans="1:64" x14ac:dyDescent="0.2">
      <c r="A544" s="22">
        <v>44698</v>
      </c>
      <c r="B544" s="23">
        <v>2023</v>
      </c>
      <c r="C544" s="24" t="s">
        <v>2089</v>
      </c>
      <c r="D544" s="44" t="s">
        <v>2095</v>
      </c>
      <c r="F544" s="173" t="s">
        <v>83</v>
      </c>
      <c r="J544" s="44" t="s">
        <v>84</v>
      </c>
      <c r="K544" s="45">
        <v>0.09</v>
      </c>
      <c r="L544" s="46" t="s">
        <v>74</v>
      </c>
      <c r="M544" s="25" t="s">
        <v>61</v>
      </c>
      <c r="N544" s="47" t="s">
        <v>62</v>
      </c>
      <c r="O544" s="29">
        <v>48</v>
      </c>
      <c r="P544" s="23"/>
      <c r="Q544" s="30">
        <v>6500000</v>
      </c>
      <c r="R544" s="79">
        <v>5589441</v>
      </c>
      <c r="S544" s="31"/>
      <c r="T544" s="30"/>
      <c r="AC544" s="25" t="s">
        <v>2096</v>
      </c>
      <c r="AF544" s="25" t="s">
        <v>88</v>
      </c>
      <c r="AI544" s="37" t="s">
        <v>166</v>
      </c>
      <c r="AJ544" s="25">
        <v>9492466083</v>
      </c>
      <c r="AK544" s="38"/>
      <c r="AL544" s="23"/>
      <c r="BH544" s="39"/>
      <c r="BJ544" s="40">
        <v>10555046</v>
      </c>
      <c r="BK544" s="40">
        <f>VLOOKUP(M544,[1]EconBenMult!$B$12:$D$14,2,TRUE)*(BJ544/1000000)</f>
        <v>81.907156960000009</v>
      </c>
      <c r="BL544" s="31">
        <f>VLOOKUP(M544,[1]EconBenMult!$B$12:$D$14,3,TRUE)*(BJ544/1000000)</f>
        <v>4519966.6606898401</v>
      </c>
    </row>
    <row r="545" spans="1:76" x14ac:dyDescent="0.2">
      <c r="A545" s="22">
        <v>44698</v>
      </c>
      <c r="B545" s="23">
        <v>2023</v>
      </c>
      <c r="C545" s="24" t="s">
        <v>2089</v>
      </c>
      <c r="D545" s="44" t="s">
        <v>258</v>
      </c>
      <c r="F545" s="174" t="s">
        <v>66</v>
      </c>
      <c r="J545" s="44" t="s">
        <v>59</v>
      </c>
      <c r="K545" s="45">
        <v>0.09</v>
      </c>
      <c r="L545" s="46" t="s">
        <v>74</v>
      </c>
      <c r="M545" s="25" t="s">
        <v>95</v>
      </c>
      <c r="N545" s="47" t="s">
        <v>62</v>
      </c>
      <c r="P545" s="23"/>
      <c r="Q545" s="30">
        <v>950000</v>
      </c>
      <c r="R545" s="79"/>
      <c r="S545" s="31"/>
      <c r="T545" s="30"/>
      <c r="AC545" s="25" t="s">
        <v>2097</v>
      </c>
      <c r="AF545" s="25" t="s">
        <v>256</v>
      </c>
      <c r="AI545" s="37" t="s">
        <v>257</v>
      </c>
      <c r="AJ545" s="25">
        <v>2067456464</v>
      </c>
      <c r="AK545" s="38"/>
      <c r="AL545" s="23"/>
      <c r="BH545" s="39"/>
    </row>
    <row r="546" spans="1:76" x14ac:dyDescent="0.2">
      <c r="A546" s="22">
        <v>44858</v>
      </c>
      <c r="B546" s="23">
        <v>2023</v>
      </c>
      <c r="C546" s="24" t="s">
        <v>2098</v>
      </c>
      <c r="D546" s="44" t="s">
        <v>2099</v>
      </c>
      <c r="F546" s="25" t="s">
        <v>568</v>
      </c>
      <c r="J546" s="44" t="s">
        <v>94</v>
      </c>
      <c r="K546" s="45">
        <v>0.09</v>
      </c>
      <c r="L546" s="46" t="s">
        <v>74</v>
      </c>
      <c r="M546" s="25" t="s">
        <v>95</v>
      </c>
      <c r="N546" s="47" t="s">
        <v>62</v>
      </c>
      <c r="O546" s="29">
        <v>30</v>
      </c>
      <c r="P546" s="23"/>
      <c r="Q546" s="30">
        <v>6400000</v>
      </c>
      <c r="R546" s="79">
        <v>5911217</v>
      </c>
      <c r="S546" s="31"/>
      <c r="T546" s="30"/>
      <c r="AC546" s="25" t="s">
        <v>2100</v>
      </c>
      <c r="AF546" s="25" t="s">
        <v>93</v>
      </c>
      <c r="AI546" s="37" t="s">
        <v>2101</v>
      </c>
      <c r="AJ546" s="25">
        <v>7632483004</v>
      </c>
      <c r="AK546" s="38"/>
      <c r="AL546" s="23"/>
      <c r="BH546" s="39"/>
      <c r="BJ546" s="40">
        <v>7700000</v>
      </c>
      <c r="BK546" s="40">
        <f>VLOOKUP(M546,[1]EconBenMult!$B$12:$D$14,2,TRUE)*(BJ546/1000000)</f>
        <v>92.631</v>
      </c>
      <c r="BL546" s="31">
        <f>VLOOKUP(M546,[1]EconBenMult!$B$12:$D$14,3,TRUE)*(BJ546/1000000)</f>
        <v>5384062.1449999996</v>
      </c>
    </row>
    <row r="547" spans="1:76" x14ac:dyDescent="0.2">
      <c r="A547" s="22">
        <v>44858</v>
      </c>
      <c r="B547" s="23">
        <v>2023</v>
      </c>
      <c r="C547" s="24" t="s">
        <v>2098</v>
      </c>
      <c r="D547" s="44" t="s">
        <v>2102</v>
      </c>
      <c r="F547" s="25" t="s">
        <v>967</v>
      </c>
      <c r="J547" s="44" t="s">
        <v>968</v>
      </c>
      <c r="K547" s="45">
        <v>0.09</v>
      </c>
      <c r="L547" s="46" t="s">
        <v>60</v>
      </c>
      <c r="M547" s="25" t="s">
        <v>95</v>
      </c>
      <c r="N547" s="47" t="s">
        <v>62</v>
      </c>
      <c r="O547" s="29">
        <v>26</v>
      </c>
      <c r="P547" s="23"/>
      <c r="Q547" s="30">
        <v>6500000</v>
      </c>
      <c r="R547" s="79">
        <v>5719428</v>
      </c>
      <c r="S547" s="31"/>
      <c r="T547" s="30"/>
      <c r="AC547" s="25" t="s">
        <v>115</v>
      </c>
      <c r="AF547" s="25" t="s">
        <v>103</v>
      </c>
      <c r="AI547" s="37" t="s">
        <v>118</v>
      </c>
      <c r="AJ547" s="25">
        <v>4064595332</v>
      </c>
      <c r="AK547" s="38"/>
      <c r="AL547" s="23"/>
      <c r="BH547" s="39"/>
      <c r="BJ547" s="40">
        <v>7271252</v>
      </c>
      <c r="BK547" s="40">
        <f>VLOOKUP(M547,[1]EconBenMult!$B$12:$D$14,2,TRUE)*(BJ547/1000000)</f>
        <v>87.473161559999994</v>
      </c>
      <c r="BL547" s="31">
        <f>VLOOKUP(M547,[1]EconBenMult!$B$12:$D$14,3,TRUE)*(BJ547/1000000)</f>
        <v>5084269.1740201991</v>
      </c>
    </row>
    <row r="548" spans="1:76" x14ac:dyDescent="0.2">
      <c r="A548" s="22">
        <v>44851</v>
      </c>
      <c r="B548" s="23">
        <v>2023</v>
      </c>
      <c r="C548" s="24" t="s">
        <v>2084</v>
      </c>
      <c r="D548" s="44" t="s">
        <v>2103</v>
      </c>
      <c r="E548" s="25" t="s">
        <v>2104</v>
      </c>
      <c r="F548" s="25" t="s">
        <v>103</v>
      </c>
      <c r="G548" s="26">
        <v>59601</v>
      </c>
      <c r="H548" s="27">
        <v>46.592019999999998</v>
      </c>
      <c r="I548" s="27">
        <v>-112.01248</v>
      </c>
      <c r="J548" s="25" t="s">
        <v>2105</v>
      </c>
      <c r="K548" s="28">
        <v>0.09</v>
      </c>
      <c r="L548" s="24" t="s">
        <v>60</v>
      </c>
      <c r="M548" s="25" t="s">
        <v>95</v>
      </c>
      <c r="N548" s="24" t="s">
        <v>75</v>
      </c>
      <c r="O548" s="29">
        <v>31</v>
      </c>
      <c r="P548" s="24">
        <v>1</v>
      </c>
      <c r="Q548" s="30">
        <v>6500000</v>
      </c>
      <c r="R548" s="31">
        <v>5524448</v>
      </c>
      <c r="S548" s="31"/>
      <c r="T548" s="30"/>
      <c r="AC548" s="25" t="s">
        <v>195</v>
      </c>
      <c r="AD548" s="25" t="s">
        <v>122</v>
      </c>
      <c r="AE548" s="25" t="s">
        <v>123</v>
      </c>
      <c r="AF548" s="25" t="s">
        <v>108</v>
      </c>
      <c r="AG548" s="25" t="s">
        <v>67</v>
      </c>
      <c r="AH548" s="25">
        <v>59806</v>
      </c>
      <c r="AI548" s="37" t="s">
        <v>124</v>
      </c>
      <c r="AJ548" s="41">
        <v>4062031558</v>
      </c>
      <c r="AK548" s="38"/>
      <c r="AL548" s="23">
        <f>SUM(AM548:AV548)</f>
        <v>31</v>
      </c>
      <c r="AO548" s="25">
        <v>21</v>
      </c>
      <c r="AP548" s="25">
        <v>9</v>
      </c>
      <c r="AV548" s="25">
        <v>1</v>
      </c>
      <c r="AW548" s="24" t="s">
        <v>80</v>
      </c>
      <c r="AZ548" s="24">
        <v>3</v>
      </c>
      <c r="BA548" s="24">
        <v>23</v>
      </c>
      <c r="BB548" s="24">
        <v>4</v>
      </c>
      <c r="BF548" s="25">
        <v>1</v>
      </c>
      <c r="BG548" s="25">
        <f>SUM(AY548:BF548)</f>
        <v>31</v>
      </c>
      <c r="BH548" s="39">
        <f>((AY548*AY$1)+(AZ548*AZ$1)+(BA548*BA$1)+(BB548*BB$1)+(BC548*BC$1)+(BD548*BD$1))/SUM(AY548:BD548)</f>
        <v>0.5033333333333333</v>
      </c>
      <c r="BJ548" s="40">
        <v>7351445</v>
      </c>
      <c r="BK548" s="40">
        <f>VLOOKUP(M548,[1]EconBenMult!$B$12:$D$14,2,TRUE)*(BJ548/1000000)</f>
        <v>88.437883349999993</v>
      </c>
      <c r="BL548" s="31">
        <f>VLOOKUP(M548,[1]EconBenMult!$B$12:$D$14,3,TRUE)*(BJ548/1000000)</f>
        <v>5140342.4331882503</v>
      </c>
    </row>
    <row r="549" spans="1:76" ht="15" x14ac:dyDescent="0.25">
      <c r="A549" s="22"/>
      <c r="B549" s="23">
        <v>2024</v>
      </c>
      <c r="C549" s="24" t="s">
        <v>2089</v>
      </c>
      <c r="D549" s="25" t="s">
        <v>2106</v>
      </c>
      <c r="F549" s="25" t="s">
        <v>525</v>
      </c>
      <c r="H549" s="26"/>
      <c r="J549" s="25" t="s">
        <v>2107</v>
      </c>
      <c r="K549" s="28">
        <v>0.09</v>
      </c>
      <c r="L549" s="24" t="s">
        <v>60</v>
      </c>
      <c r="M549" s="25" t="s">
        <v>1995</v>
      </c>
      <c r="N549" s="24" t="s">
        <v>75</v>
      </c>
      <c r="O549" s="29">
        <v>20</v>
      </c>
      <c r="Q549" s="30">
        <v>6300000</v>
      </c>
      <c r="R549" s="31">
        <v>5354465</v>
      </c>
      <c r="S549" s="31"/>
      <c r="T549" s="30"/>
      <c r="AC549" s="25" t="s">
        <v>121</v>
      </c>
      <c r="AF549" s="25" t="s">
        <v>108</v>
      </c>
      <c r="AH549" s="25" t="s">
        <v>67</v>
      </c>
      <c r="AI549" s="43" t="s">
        <v>124</v>
      </c>
      <c r="AJ549" s="41"/>
      <c r="AK549" s="38"/>
      <c r="AL549" s="23">
        <f>SUM(AM549:AV549)</f>
        <v>20</v>
      </c>
      <c r="AO549" s="25">
        <v>9</v>
      </c>
      <c r="AP549" s="25">
        <v>10</v>
      </c>
      <c r="AV549" s="25">
        <v>1</v>
      </c>
      <c r="AW549" s="24" t="s">
        <v>80</v>
      </c>
      <c r="AZ549" s="24">
        <v>2</v>
      </c>
      <c r="BA549" s="24">
        <v>10</v>
      </c>
      <c r="BB549" s="24">
        <v>7</v>
      </c>
      <c r="BF549" s="25">
        <v>1</v>
      </c>
      <c r="BG549" s="25">
        <f>SUM(AY549:BF549)</f>
        <v>20</v>
      </c>
      <c r="BH549" s="39">
        <f>((AY549*AY$1)+(AZ549*AZ$1)+(BA549*BA$1)+(BB549*BB$1)+(BC549*BC$1)+(BD549*BD$1))/SUM(AY549:BD549)</f>
        <v>0.52631578947368418</v>
      </c>
    </row>
    <row r="550" spans="1:76" x14ac:dyDescent="0.2">
      <c r="A550" s="22"/>
      <c r="B550" s="23">
        <v>2024</v>
      </c>
      <c r="C550" s="24" t="s">
        <v>2084</v>
      </c>
      <c r="D550" s="44" t="s">
        <v>2108</v>
      </c>
      <c r="E550" s="25" t="s">
        <v>2109</v>
      </c>
      <c r="F550" s="25" t="s">
        <v>210</v>
      </c>
      <c r="G550" s="26">
        <v>59701</v>
      </c>
      <c r="H550" s="27">
        <v>46.01343</v>
      </c>
      <c r="I550" s="27">
        <v>-112.53876</v>
      </c>
      <c r="J550" s="25" t="s">
        <v>218</v>
      </c>
      <c r="K550" s="28">
        <v>0.09</v>
      </c>
      <c r="L550" s="24" t="s">
        <v>60</v>
      </c>
      <c r="M550" s="25" t="s">
        <v>61</v>
      </c>
      <c r="N550" s="24" t="s">
        <v>62</v>
      </c>
      <c r="O550" s="29">
        <v>29</v>
      </c>
      <c r="P550" s="24">
        <v>1</v>
      </c>
      <c r="Q550" s="30">
        <v>6500000</v>
      </c>
      <c r="R550" s="31">
        <v>5590000</v>
      </c>
      <c r="S550" s="31"/>
      <c r="T550" s="30"/>
      <c r="U550" s="48">
        <v>3.8324999999999998E-2</v>
      </c>
      <c r="V550" s="33">
        <v>16</v>
      </c>
      <c r="AC550" s="25" t="s">
        <v>796</v>
      </c>
      <c r="AD550" s="25" t="s">
        <v>2110</v>
      </c>
      <c r="AE550" s="25" t="s">
        <v>2111</v>
      </c>
      <c r="AF550" s="25" t="s">
        <v>108</v>
      </c>
      <c r="AG550" s="25" t="s">
        <v>67</v>
      </c>
      <c r="AH550" s="25">
        <v>59808</v>
      </c>
      <c r="AI550" s="37" t="s">
        <v>2112</v>
      </c>
      <c r="AJ550" s="41">
        <v>4068024487</v>
      </c>
      <c r="AK550" s="38">
        <v>191</v>
      </c>
      <c r="AL550" s="23">
        <f>SUM(AM550:AV550)</f>
        <v>29</v>
      </c>
      <c r="AN550" s="25">
        <v>4</v>
      </c>
      <c r="AO550" s="25">
        <v>12</v>
      </c>
      <c r="AP550" s="25">
        <v>13</v>
      </c>
      <c r="AW550" s="24" t="s">
        <v>80</v>
      </c>
      <c r="AZ550" s="24">
        <f>2+2+2</f>
        <v>6</v>
      </c>
      <c r="BA550" s="24">
        <f>2+4+3</f>
        <v>9</v>
      </c>
      <c r="BB550" s="24">
        <f>6+8</f>
        <v>14</v>
      </c>
      <c r="BG550" s="25">
        <f>SUM(AY550:BF550)</f>
        <v>29</v>
      </c>
      <c r="BH550" s="39">
        <f>((AY550*AY$1)+(AZ550*AZ$1)+(BA550*BA$1)+(BB550*BB$1)+(BC550*BC$1)+(BD550*BD$1))/SUM(AY550:BD550)</f>
        <v>0.52758620689655178</v>
      </c>
      <c r="BJ550" s="40">
        <v>8815023</v>
      </c>
      <c r="BK550" s="40">
        <f>VLOOKUP(M550,[1]EconBenMult!$B$12:$D$14,2,TRUE)*(BJ550/1000000)</f>
        <v>68.404578479999998</v>
      </c>
      <c r="BL550" s="31">
        <f>VLOOKUP(M550,[1]EconBenMult!$B$12:$D$14,3,TRUE)*(BJ550/1000000)</f>
        <v>3774840.0218449198</v>
      </c>
      <c r="BQ550" s="50"/>
      <c r="BR550" s="51"/>
      <c r="BS550" s="52"/>
      <c r="BT550" s="52"/>
      <c r="BU550" s="53"/>
      <c r="BV550" s="52"/>
      <c r="BW550" s="53"/>
      <c r="BX550" s="33"/>
    </row>
    <row r="551" spans="1:76" x14ac:dyDescent="0.2">
      <c r="A551" s="22"/>
      <c r="B551" s="23">
        <v>2024</v>
      </c>
      <c r="C551" s="24" t="s">
        <v>2084</v>
      </c>
      <c r="D551" s="44" t="s">
        <v>2113</v>
      </c>
      <c r="E551" s="25" t="s">
        <v>2114</v>
      </c>
      <c r="F551" s="25" t="s">
        <v>108</v>
      </c>
      <c r="G551" s="26">
        <v>59802</v>
      </c>
      <c r="H551" s="27">
        <v>46.877020000000002</v>
      </c>
      <c r="I551" s="27">
        <v>-114.01130999999999</v>
      </c>
      <c r="J551" s="44" t="s">
        <v>108</v>
      </c>
      <c r="K551" s="45">
        <v>0.09</v>
      </c>
      <c r="L551" s="46" t="s">
        <v>60</v>
      </c>
      <c r="M551" s="25" t="s">
        <v>61</v>
      </c>
      <c r="N551" s="47" t="s">
        <v>62</v>
      </c>
      <c r="O551" s="29">
        <v>20</v>
      </c>
      <c r="P551" s="23">
        <v>1</v>
      </c>
      <c r="Q551" s="30">
        <v>3701410</v>
      </c>
      <c r="R551" s="31">
        <v>3108870</v>
      </c>
      <c r="S551" s="31"/>
      <c r="T551" s="30"/>
      <c r="U551" s="48"/>
      <c r="AC551" s="25" t="s">
        <v>2115</v>
      </c>
      <c r="AD551" s="25" t="s">
        <v>248</v>
      </c>
      <c r="AE551" s="25" t="s">
        <v>2116</v>
      </c>
      <c r="AF551" s="25" t="s">
        <v>108</v>
      </c>
      <c r="AG551" s="25" t="s">
        <v>67</v>
      </c>
      <c r="AH551" s="25">
        <v>59801</v>
      </c>
      <c r="AI551" s="37" t="s">
        <v>250</v>
      </c>
      <c r="AJ551" s="41">
        <v>4062144788</v>
      </c>
      <c r="AK551" s="38">
        <v>1119</v>
      </c>
      <c r="AL551" s="23">
        <f>SUM(AM551:AV551)</f>
        <v>20</v>
      </c>
      <c r="AO551" s="25">
        <v>20</v>
      </c>
      <c r="AW551" s="24" t="s">
        <v>80</v>
      </c>
      <c r="AY551" s="24">
        <v>20</v>
      </c>
      <c r="BG551" s="25">
        <f>SUM(AY551:BF551)</f>
        <v>20</v>
      </c>
      <c r="BH551" s="39">
        <f>((AY551*AY$1)+(AZ551*AZ$1)+(BA551*BA$1)+(BB551*BB$1)+(BC551*BC$1)+(BD551*BD$1))/SUM(AY551:BD551)</f>
        <v>0.3</v>
      </c>
      <c r="BJ551" s="40">
        <v>4338864</v>
      </c>
      <c r="BK551" s="40">
        <f>VLOOKUP(M551,[1]EconBenMult!$B$12:$D$14,2,TRUE)*(BJ551/1000000)</f>
        <v>33.669584639999997</v>
      </c>
      <c r="BL551" s="31">
        <f>VLOOKUP(M551,[1]EconBenMult!$B$12:$D$14,3,TRUE)*(BJ551/1000000)</f>
        <v>1858023.2265465599</v>
      </c>
      <c r="BQ551" s="50"/>
      <c r="BR551" s="51"/>
      <c r="BS551" s="52"/>
      <c r="BT551" s="52"/>
      <c r="BU551" s="53"/>
      <c r="BV551" s="52"/>
      <c r="BW551" s="53"/>
      <c r="BX551" s="33"/>
    </row>
    <row r="552" spans="1:76" ht="15" customHeight="1" x14ac:dyDescent="0.25">
      <c r="B552" s="24">
        <v>2024</v>
      </c>
      <c r="C552" s="24" t="s">
        <v>2084</v>
      </c>
      <c r="D552" s="25" t="s">
        <v>1955</v>
      </c>
      <c r="E552" s="25" t="s">
        <v>2117</v>
      </c>
      <c r="F552" s="25" t="s">
        <v>525</v>
      </c>
      <c r="G552" s="26">
        <v>59860</v>
      </c>
      <c r="H552" s="27">
        <v>47.693849999999998</v>
      </c>
      <c r="I552" s="27">
        <v>-114.11333999999999</v>
      </c>
      <c r="J552" s="25" t="s">
        <v>441</v>
      </c>
      <c r="K552" s="28">
        <v>0.09</v>
      </c>
      <c r="L552" s="24" t="s">
        <v>74</v>
      </c>
      <c r="M552" s="25" t="s">
        <v>95</v>
      </c>
      <c r="N552" s="24" t="s">
        <v>75</v>
      </c>
      <c r="O552" s="29">
        <v>24</v>
      </c>
      <c r="P552" s="24">
        <v>1</v>
      </c>
      <c r="Q552" s="30">
        <v>6500000</v>
      </c>
      <c r="R552" s="30">
        <v>5459454</v>
      </c>
      <c r="S552" s="30"/>
      <c r="T552" s="30"/>
      <c r="U552" s="48"/>
      <c r="AC552" s="25" t="s">
        <v>2118</v>
      </c>
      <c r="AD552" s="25" t="s">
        <v>2119</v>
      </c>
      <c r="AE552" s="25" t="s">
        <v>2120</v>
      </c>
      <c r="AF552" s="25" t="s">
        <v>66</v>
      </c>
      <c r="AG552" s="25" t="s">
        <v>67</v>
      </c>
      <c r="AH552" s="25">
        <v>59901</v>
      </c>
      <c r="AI552" s="43" t="s">
        <v>2121</v>
      </c>
      <c r="AJ552" s="41">
        <v>4067529143</v>
      </c>
      <c r="AK552" s="42">
        <v>139</v>
      </c>
      <c r="AL552" s="23">
        <f>SUM(AM552:AV552)</f>
        <v>24</v>
      </c>
      <c r="AO552" s="25">
        <v>12</v>
      </c>
      <c r="AP552" s="25">
        <v>12</v>
      </c>
      <c r="AW552" s="24" t="s">
        <v>80</v>
      </c>
      <c r="AY552" s="24">
        <f>2+2</f>
        <v>4</v>
      </c>
      <c r="BA552" s="24">
        <f>7+7</f>
        <v>14</v>
      </c>
      <c r="BB552" s="24">
        <f>1+1</f>
        <v>2</v>
      </c>
      <c r="BE552" s="24">
        <v>4</v>
      </c>
      <c r="BG552" s="25">
        <f>SUM(AY552:BF552)</f>
        <v>24</v>
      </c>
      <c r="BH552" s="39">
        <f>((AY552*AY$1)+(AZ552*AZ$1)+(BA552*BA$1)+(BB552*BB$1)+(BC552*BC$1)+(BD552*BD$1))/SUM(AY552:BD552)</f>
        <v>0.46999999999999992</v>
      </c>
      <c r="BJ552" s="40">
        <v>8120792</v>
      </c>
      <c r="BK552" s="40">
        <f>VLOOKUP(M552,[1]EconBenMult!$B$12:$D$14,2,TRUE)*(BJ552/1000000)</f>
        <v>97.693127759999996</v>
      </c>
      <c r="BL552" s="31">
        <f>VLOOKUP(M552,[1]EconBenMult!$B$12:$D$14,3,TRUE)*(BJ552/1000000)</f>
        <v>5678292.0512491995</v>
      </c>
      <c r="BR552" s="49"/>
      <c r="BS552" s="32"/>
      <c r="BT552" s="32"/>
      <c r="BU552" s="32"/>
      <c r="BV552" s="32"/>
      <c r="BW552" s="32"/>
      <c r="BX552" s="33"/>
    </row>
    <row r="553" spans="1:76" ht="13.5" x14ac:dyDescent="0.25">
      <c r="M553" s="157"/>
      <c r="Q553" s="49"/>
      <c r="AI553" s="37"/>
    </row>
    <row r="554" spans="1:76" ht="13.5" x14ac:dyDescent="0.25">
      <c r="M554" s="157"/>
      <c r="Q554" s="49"/>
      <c r="AI554" s="37"/>
    </row>
    <row r="555" spans="1:76" ht="13.5" x14ac:dyDescent="0.25">
      <c r="M555" s="157"/>
      <c r="Q555" s="49"/>
      <c r="AI555" s="37"/>
    </row>
    <row r="556" spans="1:76" ht="13.5" x14ac:dyDescent="0.25">
      <c r="M556" s="157"/>
      <c r="Q556" s="49"/>
      <c r="AI556" s="37"/>
    </row>
    <row r="557" spans="1:76" ht="13.5" x14ac:dyDescent="0.25">
      <c r="M557" s="157"/>
      <c r="Q557" s="49"/>
      <c r="AI557" s="37"/>
    </row>
    <row r="558" spans="1:76" ht="13.5" x14ac:dyDescent="0.25">
      <c r="M558" s="157"/>
      <c r="Q558" s="49"/>
      <c r="AI558" s="37"/>
    </row>
    <row r="559" spans="1:76" ht="13.5" x14ac:dyDescent="0.25">
      <c r="M559" s="157"/>
      <c r="Q559" s="49"/>
      <c r="AI559" s="37"/>
    </row>
    <row r="560" spans="1:76" ht="13.5" x14ac:dyDescent="0.25">
      <c r="M560" s="157"/>
      <c r="Q560" s="49"/>
      <c r="AI560" s="37"/>
    </row>
    <row r="561" spans="13:35" ht="13.5" x14ac:dyDescent="0.25">
      <c r="M561" s="157"/>
      <c r="Q561" s="49"/>
      <c r="AI561" s="37"/>
    </row>
    <row r="562" spans="13:35" ht="13.5" x14ac:dyDescent="0.25">
      <c r="M562" s="157"/>
      <c r="Q562" s="49"/>
      <c r="AI562" s="37"/>
    </row>
    <row r="563" spans="13:35" ht="13.5" x14ac:dyDescent="0.25">
      <c r="M563" s="157"/>
      <c r="Q563" s="49"/>
      <c r="AI563" s="37"/>
    </row>
    <row r="564" spans="13:35" ht="13.5" x14ac:dyDescent="0.25">
      <c r="M564" s="157"/>
      <c r="Q564" s="49"/>
      <c r="AI564" s="37"/>
    </row>
    <row r="565" spans="13:35" ht="13.5" x14ac:dyDescent="0.25">
      <c r="M565" s="157"/>
      <c r="Q565" s="49"/>
      <c r="AI565" s="37"/>
    </row>
    <row r="566" spans="13:35" ht="13.5" x14ac:dyDescent="0.25">
      <c r="M566" s="157"/>
      <c r="Q566" s="49"/>
      <c r="AI566" s="37"/>
    </row>
    <row r="567" spans="13:35" ht="13.5" x14ac:dyDescent="0.25">
      <c r="M567" s="157"/>
      <c r="Q567" s="49"/>
      <c r="AI567" s="37"/>
    </row>
    <row r="568" spans="13:35" ht="13.5" x14ac:dyDescent="0.25">
      <c r="M568" s="157"/>
      <c r="Q568" s="49"/>
      <c r="AI568" s="37"/>
    </row>
    <row r="569" spans="13:35" ht="13.5" x14ac:dyDescent="0.25">
      <c r="M569" s="157"/>
      <c r="Q569" s="49"/>
    </row>
    <row r="570" spans="13:35" ht="13.5" x14ac:dyDescent="0.25">
      <c r="M570" s="157"/>
      <c r="Q570" s="49"/>
    </row>
    <row r="571" spans="13:35" ht="13.5" x14ac:dyDescent="0.25">
      <c r="M571" s="157"/>
      <c r="Q571" s="49"/>
    </row>
    <row r="572" spans="13:35" ht="13.5" x14ac:dyDescent="0.25">
      <c r="M572" s="157"/>
      <c r="Q572" s="49"/>
    </row>
    <row r="573" spans="13:35" ht="13.5" x14ac:dyDescent="0.25">
      <c r="M573" s="157"/>
      <c r="Q573" s="49"/>
    </row>
    <row r="574" spans="13:35" ht="13.5" x14ac:dyDescent="0.25">
      <c r="M574" s="157"/>
      <c r="Q574" s="49"/>
    </row>
    <row r="575" spans="13:35" ht="13.5" x14ac:dyDescent="0.25">
      <c r="M575" s="157"/>
      <c r="Q575" s="49"/>
    </row>
    <row r="576" spans="13:35" ht="13.5" x14ac:dyDescent="0.25">
      <c r="M576" s="157"/>
      <c r="Q576" s="49"/>
    </row>
    <row r="577" spans="13:17" ht="13.5" x14ac:dyDescent="0.25">
      <c r="M577" s="157"/>
      <c r="Q577" s="49"/>
    </row>
    <row r="578" spans="13:17" ht="13.5" x14ac:dyDescent="0.25">
      <c r="M578" s="157"/>
      <c r="Q578" s="49"/>
    </row>
    <row r="579" spans="13:17" ht="13.5" x14ac:dyDescent="0.25">
      <c r="M579" s="157"/>
      <c r="Q579" s="49"/>
    </row>
    <row r="580" spans="13:17" ht="13.5" x14ac:dyDescent="0.25">
      <c r="M580" s="157"/>
      <c r="Q580" s="49"/>
    </row>
  </sheetData>
  <dataValidations count="11">
    <dataValidation type="list" allowBlank="1" showInputMessage="1" showErrorMessage="1" sqref="AW549:AW552 AW5:AW11" xr:uid="{D10484A4-E6C8-411D-81C2-F98DA27EFD50}">
      <formula1>"20/50,40/60,Ave Inc"</formula1>
    </dataValidation>
    <dataValidation type="list" allowBlank="1" showInputMessage="1" showErrorMessage="1" sqref="N549:N552 N5:N11" xr:uid="{4BBEAE4B-CDC5-45A0-9C03-6F782041CBE0}">
      <formula1>"Family,Senior"</formula1>
    </dataValidation>
    <dataValidation type="list" allowBlank="1" showInputMessage="1" showErrorMessage="1" sqref="M509" xr:uid="{BA245367-22AE-4805-BD13-FEA4B2F5D443}">
      <formula1>$M$69:$M$83</formula1>
    </dataValidation>
    <dataValidation type="list" allowBlank="1" showInputMessage="1" showErrorMessage="1" sqref="M525:M526" xr:uid="{2E48987E-60CA-4B88-A92C-888D15B6CA8F}">
      <formula1>$F$50:$F$51</formula1>
    </dataValidation>
    <dataValidation type="list" allowBlank="1" showInputMessage="1" showErrorMessage="1" sqref="N525:N547" xr:uid="{B2D61693-5B85-4ABF-BAA1-B7E50BF59BE8}">
      <formula1>$E$50:$E$50</formula1>
    </dataValidation>
    <dataValidation type="list" allowBlank="1" showInputMessage="1" showErrorMessage="1" sqref="N525:N547" xr:uid="{2F434142-3C2B-45D3-AEE5-1D9437CD021F}">
      <formula1>$E$50:$E$51</formula1>
    </dataValidation>
    <dataValidation type="list" allowBlank="1" showInputMessage="1" showErrorMessage="1" sqref="N50 N48 N32" xr:uid="{92E0172C-B5A9-4007-8371-005F6D34599C}">
      <formula1>$G$51:$G$51</formula1>
    </dataValidation>
    <dataValidation type="list" allowBlank="1" showInputMessage="1" showErrorMessage="1" sqref="N50 N48 N32" xr:uid="{3CDD9FF0-FF6E-4A16-B103-69E35E599CCA}">
      <formula1>$G$51:$G$52</formula1>
    </dataValidation>
    <dataValidation type="list" allowBlank="1" showInputMessage="1" showErrorMessage="1" sqref="M515 M64" xr:uid="{93EC336E-9FCA-4EBC-8018-183930DD8636}">
      <formula1>$K$516:$K$516</formula1>
    </dataValidation>
    <dataValidation type="list" allowBlank="1" showInputMessage="1" showErrorMessage="1" sqref="N515:N516 N63:N64" xr:uid="{5F8E0524-7DDD-406C-A572-B68B5FEA2D55}">
      <formula1>$J$516:$J$516</formula1>
    </dataValidation>
    <dataValidation type="list" allowBlank="1" showInputMessage="1" showErrorMessage="1" sqref="L477 L483 L486:L487 L479:L481 N483 E483 N479:N481 M502:M508 M490:M499 L490:L501 E486:E487 N477 N486:N487 E477 E479:E481 N490:N522 M510:M524 M527:M547" xr:uid="{293ABDBE-0241-4A87-8740-46EFACC5BB79}">
      <formula1>#REF!</formula1>
    </dataValidation>
  </dataValidations>
  <hyperlinks>
    <hyperlink ref="AI504" r:id="rId1" xr:uid="{F9C46613-A0A7-49AE-AE8B-66A2FD7D80D8}"/>
    <hyperlink ref="AI75" r:id="rId2" xr:uid="{E15FDB37-E6FE-41AA-9AE3-010D22076F05}"/>
    <hyperlink ref="AI506" r:id="rId3" xr:uid="{5166B10E-A845-422C-9650-5DBE008FC92E}"/>
    <hyperlink ref="AI505" r:id="rId4" xr:uid="{401D8B6D-CE08-49A6-9A29-B92F99A3A8DE}"/>
    <hyperlink ref="AI507" r:id="rId5" xr:uid="{9F1ECB77-D2A6-41FA-BF1A-29C4EAD4F73D}"/>
    <hyperlink ref="AI502" r:id="rId6" display="mailto:taylorh@syringaproperties.com" xr:uid="{54398A32-E1F6-4A46-8A5B-491CFBE7E3FD}"/>
    <hyperlink ref="AI69" r:id="rId7" display="mailto:heather@homeword.org" xr:uid="{3DB16F76-9BBD-4D0D-85A1-CD06FBBEB689}"/>
    <hyperlink ref="AI508" r:id="rId8" xr:uid="{F7BDB94B-C902-4CD2-A0BC-B9A1B04E7F32}"/>
    <hyperlink ref="AI509" r:id="rId9" display="mailto:nfortier@nwgf.org" xr:uid="{E6CBFE9C-5792-4170-ACB3-A80CA32421C1}"/>
    <hyperlink ref="AI510" r:id="rId10" display="mailto:Rusty@SummitHousingGroup.com" xr:uid="{BCBEA6C7-322B-445F-A41E-F25A4F2262E0}"/>
    <hyperlink ref="AI511" r:id="rId11" xr:uid="{81E963CA-F738-456B-9673-0BB796052466}"/>
    <hyperlink ref="AI501" r:id="rId12" xr:uid="{976F5901-2F36-4A24-AC6D-BD5A72D9C28E}"/>
    <hyperlink ref="AI503" r:id="rId13" xr:uid="{B286C561-2D7D-4FED-A173-3B62FA609BB0}"/>
    <hyperlink ref="AI72" r:id="rId14" xr:uid="{EFF41193-50C4-4515-A217-BC8F0E618905}"/>
    <hyperlink ref="AI512" r:id="rId15" xr:uid="{257D92C4-E008-4D15-9266-9AE20A1DB651}"/>
    <hyperlink ref="AI73" r:id="rId16" xr:uid="{FE86727C-AC29-4E30-B5AB-C5F3D5E6068D}"/>
    <hyperlink ref="AI528" r:id="rId17" xr:uid="{9B2DD6E4-1469-4E88-964F-F797E9EDCBAA}"/>
    <hyperlink ref="AI531" r:id="rId18" xr:uid="{4F7485B1-9758-4262-A433-D16CE407EC2A}"/>
    <hyperlink ref="AI526" r:id="rId19" xr:uid="{AA8F5B45-A5DE-48C9-88DC-B21418413C69}"/>
    <hyperlink ref="AI529" r:id="rId20" xr:uid="{DDDDBB74-43E6-45C1-9B14-4381700A7D26}"/>
    <hyperlink ref="AI524" r:id="rId21" xr:uid="{2C9DFE66-AB4B-4C6B-98F2-56725ED07657}"/>
    <hyperlink ref="AI525" r:id="rId22" xr:uid="{23C6BF8A-530B-410E-AE0F-B4D1D09CF119}"/>
    <hyperlink ref="AI523" r:id="rId23" xr:uid="{257CE380-8F85-498A-9797-1CE67D253872}"/>
    <hyperlink ref="AI527" r:id="rId24" xr:uid="{7C15F96D-C9C9-439C-A421-D0E1D261B88F}"/>
    <hyperlink ref="AI530" r:id="rId25" xr:uid="{56AC7760-9629-44AF-9898-2BB08B41DEE8}"/>
    <hyperlink ref="AI48" r:id="rId26" xr:uid="{D215DA57-92DC-44B0-BFFD-07C5E0303543}"/>
    <hyperlink ref="AI57" r:id="rId27" xr:uid="{F20544BC-6594-44F3-A91E-536144C3117E}"/>
    <hyperlink ref="AI51" r:id="rId28" xr:uid="{565EEA15-ACED-4311-87C6-2437C53CF74A}"/>
    <hyperlink ref="AI50" r:id="rId29" xr:uid="{445721E0-181C-4234-B5C1-B94B9F0D790C}"/>
    <hyperlink ref="AI15" r:id="rId30" xr:uid="{B7DA4B1C-11AC-4149-929C-B767BEF89262}"/>
    <hyperlink ref="AI61" r:id="rId31" xr:uid="{5D75CAC9-B5EF-4CB3-A866-7985A6CF792D}"/>
    <hyperlink ref="AI58" r:id="rId32" xr:uid="{AD156538-8000-47E9-9ABF-2CB2B1F2D4EA}"/>
    <hyperlink ref="AI70" r:id="rId33" xr:uid="{CC39B3A1-C9B1-4545-90EF-F609A40A24D9}"/>
    <hyperlink ref="AI536" r:id="rId34" xr:uid="{9EA0D637-08A9-4257-B407-5CD5CB2241E8}"/>
    <hyperlink ref="AI537" r:id="rId35" xr:uid="{5BDB4775-63A3-4CA2-89BF-635C4AF6BF39}"/>
    <hyperlink ref="AI533" r:id="rId36" xr:uid="{B3CF0B9B-E727-47F9-A47E-F04DC240F3FC}"/>
    <hyperlink ref="AI532" r:id="rId37" xr:uid="{8B0A8980-08B8-415D-A9BB-90CD29174AAD}"/>
    <hyperlink ref="AI535" r:id="rId38" xr:uid="{5558E10A-D263-4C3C-B266-5D03B3789F80}"/>
    <hyperlink ref="AI43" r:id="rId39" xr:uid="{1E1F42DC-1E90-4868-A301-2D86CF397312}"/>
    <hyperlink ref="AI42" r:id="rId40" xr:uid="{3977BD6D-A3EE-4DF1-8416-A580ACFF371B}"/>
    <hyperlink ref="AI40" r:id="rId41" xr:uid="{767E3A5B-4044-4550-81E7-E20CCC565A9B}"/>
    <hyperlink ref="AI41" r:id="rId42" xr:uid="{D94598B0-99AB-40BF-BD9B-9938A1462A40}"/>
    <hyperlink ref="AI30" r:id="rId43" xr:uid="{14AD02FF-B78E-47C9-B705-35C62D596455}"/>
    <hyperlink ref="AI35" r:id="rId44" xr:uid="{400EF8BF-BDD0-4D16-9EA4-65DF89BEC301}"/>
    <hyperlink ref="AI538" r:id="rId45" xr:uid="{4093FE2C-2F41-413F-8CB1-468BA4C8CEFD}"/>
    <hyperlink ref="AI539" r:id="rId46" xr:uid="{436C0ED5-5BCF-4293-AAE0-4CA66DBA6A29}"/>
    <hyperlink ref="AI36" r:id="rId47" xr:uid="{F4E762B0-94CE-43B6-B4FB-0DE65FF4B983}"/>
    <hyperlink ref="AI34" r:id="rId48" xr:uid="{8B1CB7D6-0B68-45A1-A55D-37C9897C30D1}"/>
    <hyperlink ref="AI32" r:id="rId49" xr:uid="{64B5FB22-FC27-4CA5-A73F-698581B22F99}"/>
    <hyperlink ref="AI33" r:id="rId50" xr:uid="{FCA639DE-0380-4828-A250-DA77CC0A5D90}"/>
    <hyperlink ref="AI39" r:id="rId51" xr:uid="{73AE7C66-B3BD-4149-B6E9-F23E5F7B9D82}"/>
    <hyperlink ref="AI29" r:id="rId52" xr:uid="{68650D7A-C47C-4763-A260-933A269DC6B1}"/>
    <hyperlink ref="AI542" r:id="rId53" xr:uid="{EC1C496B-63A2-4094-BE00-C5871B22EF51}"/>
    <hyperlink ref="AI25" r:id="rId54" xr:uid="{27042DC0-DC75-46EE-AF66-1C597D271E81}"/>
    <hyperlink ref="AI24" r:id="rId55" xr:uid="{A016CE2C-7045-4ECB-B198-310E6A5982C1}"/>
    <hyperlink ref="AI545" r:id="rId56" xr:uid="{6AC0D88B-CE72-4EEB-B908-797429A196BA}"/>
    <hyperlink ref="AI541" r:id="rId57" xr:uid="{0B00E30C-2F18-4785-A62D-73D14CDD89BE}"/>
    <hyperlink ref="AI546" r:id="rId58" xr:uid="{FC1DDCCF-2E86-4782-8710-AA2483F4624B}"/>
    <hyperlink ref="AI23" r:id="rId59" xr:uid="{C1AEBA92-93A3-47D5-839A-DC650F87FCCE}"/>
    <hyperlink ref="AI548" r:id="rId60" xr:uid="{3EDFFD4F-F499-4812-968B-8FC72F205C04}"/>
    <hyperlink ref="AI22" r:id="rId61" xr:uid="{B57A49BF-8442-495A-A5C0-32DF821AF9CA}"/>
    <hyperlink ref="AI21" r:id="rId62" xr:uid="{0E622A0F-94D6-4B6A-BBF1-410B1133505C}"/>
    <hyperlink ref="AI18" r:id="rId63" xr:uid="{BCFF03B1-D728-454D-8581-CA6ED83DE17B}"/>
    <hyperlink ref="AI6" r:id="rId64" xr:uid="{00B21F70-BF7A-4AD6-9F73-C1673CA0CDBD}"/>
    <hyperlink ref="AI549" r:id="rId65" xr:uid="{9CC77508-7873-448A-95B2-75F430B1736C}"/>
    <hyperlink ref="AI552" r:id="rId66" xr:uid="{2C65D158-95C1-49C0-A602-939D8A735353}"/>
    <hyperlink ref="AI8" r:id="rId67" xr:uid="{E94FFD7E-3994-4EE3-AF16-8A3B9BDE8795}"/>
    <hyperlink ref="AI550" r:id="rId68" xr:uid="{E4F9DA83-DB55-4B76-82F6-CA6912832511}"/>
    <hyperlink ref="AI4" r:id="rId69" xr:uid="{56C9CB49-C2B6-46CB-AF8E-F369A231FD50}"/>
    <hyperlink ref="AI16" r:id="rId70" xr:uid="{50ABFCB0-E67F-489D-BDE9-C85479C68617}"/>
    <hyperlink ref="AI17" r:id="rId71" xr:uid="{11D07446-7258-4A56-ABFE-75822B1E55D8}"/>
    <hyperlink ref="AI5" r:id="rId72" xr:uid="{B7A336CC-5E5B-47E9-A544-71988133033E}"/>
    <hyperlink ref="AI7" r:id="rId73" xr:uid="{E44E0AEA-0146-416A-839D-1F9015719A84}"/>
    <hyperlink ref="AI9" r:id="rId74" xr:uid="{A802C2F3-FF41-49C4-9FAC-F7E35D78BA5F}"/>
    <hyperlink ref="AI11" r:id="rId75" xr:uid="{60CBF6F3-76AC-4FBC-BB01-1908EF711CAF}"/>
    <hyperlink ref="AI14" r:id="rId76" xr:uid="{60D997F4-C037-482D-8186-5F487476CF15}"/>
    <hyperlink ref="AI13" r:id="rId77" xr:uid="{D1AAB309-6910-479B-8A5D-9CA06788B76C}"/>
    <hyperlink ref="AI3" r:id="rId78" xr:uid="{BE3EFD91-D381-47A9-A5E2-7A89F616175D}"/>
    <hyperlink ref="AI12" r:id="rId79" xr:uid="{0BEFA481-B0C5-4CCE-8B0C-2F9620069025}"/>
    <hyperlink ref="AI19:AI20" r:id="rId80" display="kbuckland@cpp-housing.com" xr:uid="{2346A593-3469-4CCC-BA49-C84C0933236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Guariglia, Kellie</dc:creator>
  <cp:lastModifiedBy>Guariglia, Kellie</cp:lastModifiedBy>
  <dcterms:created xsi:type="dcterms:W3CDTF">2024-03-01T20:08:14Z</dcterms:created>
  <dcterms:modified xsi:type="dcterms:W3CDTF">2024-03-01T20:17:16Z</dcterms:modified>
</cp:coreProperties>
</file>